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90" windowWidth="19230" windowHeight="5400"/>
  </bookViews>
  <sheets>
    <sheet name="lit 2014" sheetId="1" r:id="rId1"/>
  </sheets>
  <definedNames>
    <definedName name="_xlnm.Print_Area" localSheetId="0">'lit 2014'!$A$1:$O$66</definedName>
    <definedName name="Print_Area_MI">'lit 2014'!$A$2:$O$65</definedName>
    <definedName name="_xlnm.Print_Titles" localSheetId="0">'lit 2014'!$A:$B</definedName>
  </definedNames>
  <calcPr calcId="144525" iterate="1"/>
</workbook>
</file>

<file path=xl/calcChain.xml><?xml version="1.0" encoding="utf-8"?>
<calcChain xmlns="http://schemas.openxmlformats.org/spreadsheetml/2006/main">
  <c r="N21" i="1" l="1"/>
  <c r="W35" i="1"/>
  <c r="W28" i="1"/>
  <c r="W25" i="1"/>
  <c r="W20" i="1"/>
  <c r="W19" i="1"/>
  <c r="W18" i="1"/>
  <c r="W17" i="1"/>
  <c r="W13" i="1"/>
  <c r="N66" i="1"/>
  <c r="H61" i="1"/>
  <c r="E66" i="1"/>
  <c r="L21" i="1"/>
  <c r="K11" i="1"/>
  <c r="K28" i="1" s="1"/>
  <c r="D66" i="1"/>
  <c r="I21" i="1"/>
  <c r="I17" i="1"/>
  <c r="I66" i="1" s="1"/>
  <c r="I11" i="1"/>
  <c r="H11" i="1"/>
  <c r="F21" i="1"/>
  <c r="D25" i="1"/>
  <c r="D17" i="1"/>
  <c r="D11" i="1"/>
  <c r="M66" i="1"/>
  <c r="L66" i="1"/>
  <c r="K27" i="1"/>
  <c r="K17" i="1"/>
  <c r="K66" i="1" s="1"/>
  <c r="J66" i="1"/>
  <c r="W42" i="1" l="1"/>
  <c r="F28" i="1"/>
  <c r="F27" i="1"/>
  <c r="H27" i="1" l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2" i="1"/>
  <c r="S11" i="1"/>
  <c r="S10" i="1"/>
  <c r="S13" i="1"/>
  <c r="H17" i="1"/>
  <c r="H66" i="1" s="1"/>
  <c r="C44" i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G66" i="1" l="1"/>
  <c r="F66" i="1"/>
  <c r="X42" i="1" l="1"/>
  <c r="Q21" i="1"/>
  <c r="Q23" i="1"/>
  <c r="Q24" i="1"/>
  <c r="Y42" i="1"/>
  <c r="E27" i="1"/>
  <c r="D27" i="1" l="1"/>
  <c r="D28" i="1"/>
  <c r="C17" i="1" l="1"/>
  <c r="C66" i="1" s="1"/>
  <c r="C25" i="1"/>
  <c r="C27" i="1"/>
  <c r="C28" i="1" l="1"/>
  <c r="O6" i="1"/>
  <c r="O7" i="1" s="1"/>
  <c r="O11" i="1"/>
  <c r="AB42" i="1" l="1"/>
  <c r="AA42" i="1"/>
  <c r="S42" i="1" l="1"/>
  <c r="Q25" i="1" s="1"/>
  <c r="Q27" i="1" l="1"/>
  <c r="I28" i="1"/>
  <c r="O17" i="1" l="1"/>
  <c r="O25" i="1"/>
  <c r="O36" i="1"/>
  <c r="L39" i="1"/>
  <c r="M39" i="1"/>
  <c r="G39" i="1"/>
  <c r="G28" i="1"/>
  <c r="F39" i="1"/>
  <c r="E28" i="1"/>
  <c r="C39" i="1"/>
  <c r="N39" i="1"/>
  <c r="O30" i="1"/>
  <c r="O33" i="1"/>
  <c r="D39" i="1"/>
  <c r="O34" i="1"/>
  <c r="O22" i="1"/>
  <c r="M28" i="1"/>
  <c r="L28" i="1"/>
  <c r="K39" i="1"/>
  <c r="J28" i="1"/>
  <c r="J39" i="1"/>
  <c r="I39" i="1"/>
  <c r="H28" i="1"/>
  <c r="H39" i="1"/>
  <c r="C55" i="1"/>
  <c r="C58" i="1" s="1"/>
  <c r="D58" i="1"/>
  <c r="E58" i="1"/>
  <c r="F58" i="1"/>
  <c r="G58" i="1"/>
  <c r="H58" i="1"/>
  <c r="I58" i="1"/>
  <c r="J58" i="1"/>
  <c r="K58" i="1"/>
  <c r="L58" i="1"/>
  <c r="M58" i="1"/>
  <c r="N54" i="1" s="1"/>
  <c r="C7" i="1"/>
  <c r="O21" i="1"/>
  <c r="O18" i="1"/>
  <c r="O26" i="1"/>
  <c r="O16" i="1"/>
  <c r="O20" i="1"/>
  <c r="O23" i="1"/>
  <c r="O12" i="1"/>
  <c r="O14" i="1"/>
  <c r="O15" i="1"/>
  <c r="O10" i="1"/>
  <c r="O13" i="1"/>
  <c r="O37" i="1"/>
  <c r="O31" i="1"/>
  <c r="O32" i="1"/>
  <c r="O35" i="1"/>
  <c r="E39" i="1"/>
  <c r="H63" i="1"/>
  <c r="H38" i="1"/>
  <c r="F38" i="1"/>
  <c r="N55" i="1"/>
  <c r="L38" i="1"/>
  <c r="K38" i="1"/>
  <c r="J38" i="1"/>
  <c r="L27" i="1"/>
  <c r="L63" i="1"/>
  <c r="K63" i="1"/>
  <c r="J63" i="1"/>
  <c r="I63" i="1"/>
  <c r="G63" i="1"/>
  <c r="F63" i="1"/>
  <c r="E63" i="1"/>
  <c r="D63" i="1"/>
  <c r="N63" i="1"/>
  <c r="M27" i="1"/>
  <c r="M63" i="1"/>
  <c r="G38" i="1"/>
  <c r="I38" i="1"/>
  <c r="M38" i="1"/>
  <c r="N38" i="1"/>
  <c r="C38" i="1"/>
  <c r="D38" i="1"/>
  <c r="E38" i="1"/>
  <c r="G27" i="1"/>
  <c r="I27" i="1"/>
  <c r="J27" i="1"/>
  <c r="N28" i="1"/>
  <c r="N27" i="1"/>
  <c r="O24" i="1"/>
  <c r="O39" i="1" l="1"/>
  <c r="C63" i="1"/>
  <c r="O27" i="1"/>
  <c r="N58" i="1"/>
  <c r="O28" i="1"/>
  <c r="O38" i="1"/>
  <c r="O42" i="1" l="1"/>
  <c r="O43" i="1" s="1"/>
  <c r="C42" i="1"/>
  <c r="C43" i="1" s="1"/>
  <c r="C45" i="1" s="1"/>
  <c r="D7" i="1"/>
  <c r="D42" i="1" l="1"/>
  <c r="D43" i="1" s="1"/>
  <c r="D45" i="1" s="1"/>
  <c r="E7" i="1"/>
  <c r="E42" i="1" l="1"/>
  <c r="E43" i="1" s="1"/>
  <c r="E45" i="1" s="1"/>
  <c r="F7" i="1"/>
  <c r="F42" i="1" l="1"/>
  <c r="F43" i="1" s="1"/>
  <c r="F45" i="1" s="1"/>
  <c r="G7" i="1"/>
  <c r="G42" i="1" s="1"/>
  <c r="G43" i="1" s="1"/>
  <c r="H7" i="1" l="1"/>
  <c r="G45" i="1"/>
  <c r="H42" i="1" l="1"/>
  <c r="H43" i="1" s="1"/>
  <c r="H40" i="1"/>
  <c r="O45" i="1"/>
  <c r="I7" i="1" l="1"/>
  <c r="I42" i="1" s="1"/>
  <c r="H45" i="1"/>
  <c r="I43" i="1" l="1"/>
  <c r="I40" i="1"/>
  <c r="I45" i="1" l="1"/>
  <c r="J7" i="1"/>
  <c r="J40" i="1" l="1"/>
  <c r="J42" i="1"/>
  <c r="J43" i="1" s="1"/>
  <c r="J45" i="1" l="1"/>
  <c r="K7" i="1"/>
  <c r="K42" i="1" s="1"/>
  <c r="K40" i="1" l="1"/>
  <c r="K43" i="1"/>
  <c r="L7" i="1" l="1"/>
  <c r="L42" i="1" s="1"/>
  <c r="L43" i="1" s="1"/>
  <c r="L45" i="1" s="1"/>
  <c r="K45" i="1"/>
  <c r="M7" i="1" l="1"/>
  <c r="M42" i="1" s="1"/>
  <c r="M43" i="1" s="1"/>
  <c r="M45" i="1" s="1"/>
  <c r="N7" i="1" l="1"/>
  <c r="N42" i="1" s="1"/>
  <c r="N43" i="1" l="1"/>
  <c r="N45" i="1" s="1"/>
</calcChain>
</file>

<file path=xl/comments1.xml><?xml version="1.0" encoding="utf-8"?>
<comments xmlns="http://schemas.openxmlformats.org/spreadsheetml/2006/main">
  <authors>
    <author>Tracey Edwards</author>
  </authors>
  <commentList>
    <comment ref="O11" authorId="0">
      <text>
        <r>
          <rPr>
            <b/>
            <sz val="8"/>
            <color indexed="81"/>
            <rFont val="Tahoma"/>
            <family val="2"/>
          </rPr>
          <t>Tracey Edwards:</t>
        </r>
        <r>
          <rPr>
            <sz val="8"/>
            <color indexed="81"/>
            <rFont val="Tahoma"/>
            <family val="2"/>
          </rPr>
          <t xml:space="preserve">
$1 adjustment made here to adress penny amounts used in some of these items.</t>
        </r>
      </text>
    </comment>
  </commentList>
</comments>
</file>

<file path=xl/sharedStrings.xml><?xml version="1.0" encoding="utf-8"?>
<sst xmlns="http://schemas.openxmlformats.org/spreadsheetml/2006/main" count="125" uniqueCount="109">
  <si>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</si>
  <si>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</si>
  <si>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</si>
  <si>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</si>
  <si>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</si>
  <si>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</si>
  <si>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</si>
  <si>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</si>
  <si>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</si>
  <si>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</si>
  <si>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</si>
  <si>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</si>
  <si>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</si>
  <si>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</si>
  <si>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</si>
  <si>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</si>
  <si>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</si>
  <si>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</si>
  <si>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</si>
  <si>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</si>
  <si>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</si>
  <si>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</si>
  <si>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</si>
  <si>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</si>
  <si>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</si>
  <si>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</si>
  <si>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</si>
  <si>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</si>
  <si>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</si>
  <si>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</si>
  <si>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</si>
  <si>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</si>
  <si>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</si>
  <si>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</si>
  <si>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</si>
  <si>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</si>
  <si>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</si>
  <si>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</si>
  <si>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</si>
  <si>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</si>
  <si>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</si>
  <si>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</si>
  <si>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</si>
  <si>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</si>
  <si>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</si>
  <si>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</si>
  <si>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</si>
  <si>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</si>
  <si>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</si>
  <si>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</si>
  <si>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</si>
  <si>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</si>
  <si>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</si>
  <si>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</si>
  <si>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</si>
  <si>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</si>
  <si>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* Based on CARS preliminary close reports</t>
  </si>
  <si>
    <t>LOANS CONVERTED TO PERMANENT STATUS</t>
  </si>
  <si>
    <t>LOAN PRINCIPAL PAYDOWN</t>
  </si>
  <si>
    <t>PERMANENT LOANS RECEIVABLE</t>
  </si>
  <si>
    <t>(a) Based on CARS final close reports</t>
  </si>
  <si>
    <t>VPSA</t>
  </si>
  <si>
    <t xml:space="preserve">JUNE 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</si>
  <si>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</si>
  <si>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</si>
  <si>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</si>
  <si>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</si>
  <si>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</si>
  <si>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</si>
  <si>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</si>
  <si>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</si>
  <si>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</si>
  <si>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</si>
  <si>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</si>
  <si>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</si>
  <si>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</si>
  <si>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</si>
  <si>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</si>
  <si>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</si>
  <si>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</si>
  <si>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</si>
  <si>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</si>
  <si>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</si>
  <si>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</si>
  <si>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</si>
  <si>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</si>
  <si>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</si>
  <si>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</si>
  <si>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</si>
  <si>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</si>
  <si>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</si>
  <si>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</si>
  <si>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</si>
  <si>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</si>
  <si>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</si>
  <si>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</si>
  <si>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Cash transfer in - Non GF AGY 405</t>
  </si>
  <si>
    <t>Cash Transfer In- Non GF AGY 999</t>
  </si>
  <si>
    <t>Cash Transfer Out- Treas TR AGY 999</t>
  </si>
  <si>
    <t>(Jun 2nd trf .pdf data)</t>
  </si>
  <si>
    <t>(Jun "true-up" .pdf data)</t>
  </si>
  <si>
    <t>FISCAL YEAR 2014</t>
  </si>
  <si>
    <t>(August .pdf data)</t>
  </si>
  <si>
    <t>(September.pdf data)</t>
  </si>
  <si>
    <t>(October.pdf data)</t>
  </si>
  <si>
    <t>(January data)</t>
  </si>
  <si>
    <t>MISCELLANEOUS REVENUE</t>
  </si>
  <si>
    <t>TABLE 10:  REPORT OF THE LITERARY FUND</t>
  </si>
  <si>
    <t>SOURCE:  Virginia Department of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</si>
</sst>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;;;"/>
    <numFmt numFmtId="165" formatCode="_(* #,##0_);[Red]_(* \(#,##0\);_(* &quot;-&quot;_);_(@_)"/>
    <numFmt numFmtId="166" formatCode="_(* #,##0.00_);[Red]_(* \(#,##0.00\);_(* &quot;-&quot;_);_(@_)"/>
  </numFmts>
  <fonts count="10" x14ac:knownFonts="1">
    <font>
      <sz val="12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sz val="8"/>
      <name val="Times New Roman"/>
      <family val="1"/>
    </font>
    <font>
      <sz val="8"/>
      <color indexed="9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9"/>
      <name val="Times New Roman"/>
      <family val="1"/>
    </font>
    <font>
      <sz val="12"/>
      <color rgb="FFFF0000"/>
      <name val="Times New Roman"/>
      <family val="1"/>
    </font>
    <font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37" fontId="0" fillId="0" borderId="0" xfId="0" applyNumberFormat="1" applyProtection="1"/>
    <xf numFmtId="39" fontId="2" fillId="0" borderId="0" xfId="0" applyNumberFormat="1" applyFont="1" applyAlignment="1" applyProtection="1">
      <alignment horizontal="left"/>
    </xf>
    <xf numFmtId="0" fontId="2" fillId="0" borderId="0" xfId="0" applyFont="1"/>
    <xf numFmtId="39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" xfId="0" applyNumberFormat="1" applyFont="1" applyBorder="1" applyProtection="1"/>
    <xf numFmtId="39" fontId="2" fillId="0" borderId="0" xfId="0" quotePrefix="1" applyNumberFormat="1" applyFont="1" applyAlignment="1" applyProtection="1">
      <alignment horizontal="center"/>
    </xf>
    <xf numFmtId="39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Border="1" applyProtection="1"/>
    <xf numFmtId="5" fontId="2" fillId="0" borderId="0" xfId="0" applyNumberFormat="1" applyFont="1" applyBorder="1" applyProtection="1"/>
    <xf numFmtId="0" fontId="2" fillId="0" borderId="0" xfId="0" applyFont="1" applyAlignment="1">
      <alignment horizontal="center"/>
    </xf>
    <xf numFmtId="3" fontId="2" fillId="0" borderId="0" xfId="0" applyNumberFormat="1" applyFont="1"/>
    <xf numFmtId="37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Protection="1">
      <protection hidden="1"/>
    </xf>
    <xf numFmtId="164" fontId="2" fillId="0" borderId="0" xfId="0" applyNumberFormat="1" applyFont="1" applyProtection="1">
      <protection locked="0" hidden="1"/>
    </xf>
    <xf numFmtId="164" fontId="2" fillId="0" borderId="0" xfId="0" applyNumberFormat="1" applyFont="1" applyProtection="1">
      <protection locked="0"/>
    </xf>
    <xf numFmtId="37" fontId="0" fillId="0" borderId="0" xfId="0" applyNumberFormat="1"/>
    <xf numFmtId="5" fontId="0" fillId="0" borderId="0" xfId="0" applyNumberFormat="1"/>
    <xf numFmtId="5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37" fontId="2" fillId="0" borderId="0" xfId="0" quotePrefix="1" applyNumberFormat="1" applyFont="1" applyAlignment="1" applyProtection="1">
      <alignment horizontal="left"/>
    </xf>
    <xf numFmtId="5" fontId="2" fillId="0" borderId="0" xfId="0" applyNumberFormat="1" applyFont="1" applyBorder="1"/>
    <xf numFmtId="37" fontId="2" fillId="0" borderId="0" xfId="0" applyNumberFormat="1" applyFont="1" applyFill="1" applyProtection="1"/>
    <xf numFmtId="5" fontId="2" fillId="0" borderId="0" xfId="0" applyNumberFormat="1" applyFont="1" applyFill="1" applyBorder="1" applyProtection="1"/>
    <xf numFmtId="42" fontId="2" fillId="0" borderId="0" xfId="0" applyNumberFormat="1" applyFont="1" applyFill="1" applyProtection="1"/>
    <xf numFmtId="42" fontId="2" fillId="0" borderId="2" xfId="0" applyNumberFormat="1" applyFont="1" applyFill="1" applyBorder="1" applyProtection="1"/>
    <xf numFmtId="42" fontId="2" fillId="0" borderId="1" xfId="0" applyNumberFormat="1" applyFont="1" applyFill="1" applyBorder="1" applyProtection="1"/>
    <xf numFmtId="42" fontId="2" fillId="0" borderId="0" xfId="0" applyNumberFormat="1" applyFont="1" applyFill="1" applyBorder="1" applyProtection="1"/>
    <xf numFmtId="0" fontId="0" fillId="0" borderId="0" xfId="0" applyFill="1"/>
    <xf numFmtId="0" fontId="2" fillId="0" borderId="0" xfId="0" applyFont="1" applyFill="1"/>
    <xf numFmtId="39" fontId="2" fillId="0" borderId="0" xfId="0" applyNumberFormat="1" applyFont="1" applyFill="1" applyAlignment="1" applyProtection="1">
      <alignment horizontal="center"/>
    </xf>
    <xf numFmtId="5" fontId="2" fillId="0" borderId="0" xfId="0" applyNumberFormat="1" applyFont="1" applyFill="1"/>
    <xf numFmtId="39" fontId="3" fillId="0" borderId="0" xfId="0" quotePrefix="1" applyNumberFormat="1" applyFont="1" applyAlignment="1" applyProtection="1">
      <alignment horizontal="left"/>
    </xf>
    <xf numFmtId="39" fontId="3" fillId="0" borderId="0" xfId="0" quotePrefix="1" applyNumberFormat="1" applyFont="1" applyBorder="1" applyAlignment="1" applyProtection="1">
      <alignment horizontal="left"/>
    </xf>
    <xf numFmtId="165" fontId="2" fillId="0" borderId="0" xfId="1" applyFont="1" applyProtection="1"/>
    <xf numFmtId="165" fontId="2" fillId="0" borderId="0" xfId="1" applyFont="1"/>
    <xf numFmtId="165" fontId="2" fillId="0" borderId="1" xfId="1" applyFont="1" applyFill="1" applyBorder="1" applyProtection="1"/>
    <xf numFmtId="165" fontId="2" fillId="0" borderId="1" xfId="1" applyFont="1" applyBorder="1" applyProtection="1"/>
    <xf numFmtId="165" fontId="2" fillId="0" borderId="0" xfId="1" applyFont="1" applyBorder="1" applyProtection="1"/>
    <xf numFmtId="165" fontId="2" fillId="0" borderId="0" xfId="1" applyFont="1" applyFill="1" applyProtection="1"/>
    <xf numFmtId="165" fontId="2" fillId="0" borderId="3" xfId="1" applyFont="1" applyBorder="1" applyProtection="1"/>
    <xf numFmtId="165" fontId="2" fillId="0" borderId="0" xfId="1" quotePrefix="1" applyFont="1" applyFill="1" applyAlignment="1" applyProtection="1">
      <alignment horizontal="right"/>
    </xf>
    <xf numFmtId="165" fontId="2" fillId="0" borderId="0" xfId="1" applyFont="1" applyProtection="1">
      <protection locked="0" hidden="1"/>
    </xf>
    <xf numFmtId="39" fontId="2" fillId="2" borderId="0" xfId="0" applyNumberFormat="1" applyFont="1" applyFill="1" applyAlignment="1" applyProtection="1">
      <alignment horizontal="left"/>
    </xf>
    <xf numFmtId="165" fontId="2" fillId="2" borderId="0" xfId="1" applyFont="1" applyFill="1" applyProtection="1"/>
    <xf numFmtId="165" fontId="2" fillId="0" borderId="3" xfId="1" applyFont="1" applyFill="1" applyBorder="1" applyProtection="1"/>
    <xf numFmtId="165" fontId="2" fillId="0" borderId="1" xfId="1" quotePrefix="1" applyFont="1" applyFill="1" applyBorder="1" applyAlignment="1" applyProtection="1">
      <alignment horizontal="right"/>
    </xf>
    <xf numFmtId="165" fontId="2" fillId="0" borderId="0" xfId="0" applyNumberFormat="1" applyFont="1" applyBorder="1" applyProtection="1"/>
    <xf numFmtId="37" fontId="3" fillId="0" borderId="0" xfId="0" applyNumberFormat="1" applyFont="1" applyAlignment="1" applyProtection="1">
      <alignment horizontal="right" vertical="top"/>
    </xf>
    <xf numFmtId="0" fontId="2" fillId="0" borderId="0" xfId="0" applyFont="1" applyFill="1" applyProtection="1">
      <protection locked="0" hidden="1"/>
    </xf>
    <xf numFmtId="0" fontId="2" fillId="0" borderId="0" xfId="0" applyFont="1" applyProtection="1">
      <protection locked="0" hidden="1"/>
    </xf>
    <xf numFmtId="0" fontId="4" fillId="0" borderId="0" xfId="0" applyFont="1"/>
    <xf numFmtId="0" fontId="3" fillId="0" borderId="0" xfId="0" applyFont="1"/>
    <xf numFmtId="0" fontId="4" fillId="0" borderId="0" xfId="0" quotePrefix="1" applyFont="1" applyAlignment="1">
      <alignment horizontal="left"/>
    </xf>
    <xf numFmtId="37" fontId="0" fillId="0" borderId="0" xfId="0" applyNumberFormat="1" applyFill="1" applyProtection="1"/>
    <xf numFmtId="37" fontId="2" fillId="0" borderId="0" xfId="0" applyNumberFormat="1" applyFont="1" applyFill="1"/>
    <xf numFmtId="42" fontId="4" fillId="0" borderId="0" xfId="0" applyNumberFormat="1" applyFont="1" applyFill="1" applyBorder="1" applyProtection="1"/>
    <xf numFmtId="0" fontId="7" fillId="0" borderId="0" xfId="0" applyFont="1"/>
    <xf numFmtId="165" fontId="2" fillId="0" borderId="0" xfId="0" applyNumberFormat="1" applyFont="1" applyFill="1" applyBorder="1" applyProtection="1"/>
    <xf numFmtId="165" fontId="2" fillId="0" borderId="0" xfId="1" quotePrefix="1" applyFont="1" applyFill="1" applyBorder="1" applyAlignment="1" applyProtection="1">
      <alignment horizontal="right"/>
    </xf>
    <xf numFmtId="5" fontId="2" fillId="0" borderId="2" xfId="0" applyNumberFormat="1" applyFont="1" applyFill="1" applyBorder="1" applyProtection="1"/>
    <xf numFmtId="166" fontId="2" fillId="0" borderId="0" xfId="1" applyNumberFormat="1" applyFont="1"/>
    <xf numFmtId="5" fontId="2" fillId="0" borderId="0" xfId="0" applyNumberFormat="1" applyFont="1"/>
    <xf numFmtId="165" fontId="4" fillId="0" borderId="0" xfId="1" applyFont="1"/>
    <xf numFmtId="166" fontId="4" fillId="0" borderId="0" xfId="1" applyNumberFormat="1" applyFont="1"/>
    <xf numFmtId="37" fontId="2" fillId="0" borderId="0" xfId="0" quotePrefix="1" applyNumberFormat="1" applyFont="1" applyAlignment="1">
      <alignment horizontal="right"/>
    </xf>
    <xf numFmtId="165" fontId="2" fillId="0" borderId="0" xfId="1" quotePrefix="1" applyFont="1" applyAlignment="1">
      <alignment horizontal="left"/>
    </xf>
    <xf numFmtId="165" fontId="0" fillId="0" borderId="0" xfId="1" applyFont="1"/>
    <xf numFmtId="165" fontId="0" fillId="0" borderId="0" xfId="1" quotePrefix="1" applyFont="1" applyAlignment="1">
      <alignment horizontal="left"/>
    </xf>
    <xf numFmtId="165" fontId="7" fillId="0" borderId="0" xfId="1" applyFont="1"/>
    <xf numFmtId="165" fontId="0" fillId="0" borderId="0" xfId="0" applyNumberFormat="1"/>
    <xf numFmtId="166" fontId="2" fillId="0" borderId="2" xfId="1" applyNumberFormat="1" applyFont="1" applyBorder="1"/>
    <xf numFmtId="166" fontId="2" fillId="2" borderId="0" xfId="1" applyNumberFormat="1" applyFont="1" applyFill="1" applyProtection="1"/>
    <xf numFmtId="165" fontId="0" fillId="0" borderId="2" xfId="1" applyFont="1" applyBorder="1"/>
    <xf numFmtId="42" fontId="2" fillId="0" borderId="0" xfId="0" applyNumberFormat="1" applyFont="1" applyBorder="1" applyProtection="1"/>
    <xf numFmtId="165" fontId="2" fillId="0" borderId="0" xfId="0" applyNumberFormat="1" applyFont="1"/>
    <xf numFmtId="164" fontId="2" fillId="0" borderId="0" xfId="0" applyNumberFormat="1" applyFont="1" applyFill="1" applyProtection="1">
      <protection hidden="1"/>
    </xf>
    <xf numFmtId="8" fontId="2" fillId="0" borderId="0" xfId="0" applyNumberFormat="1" applyFont="1" applyFill="1" applyProtection="1"/>
    <xf numFmtId="166" fontId="8" fillId="0" borderId="0" xfId="1" applyNumberFormat="1" applyFont="1"/>
    <xf numFmtId="166" fontId="0" fillId="0" borderId="0" xfId="1" applyNumberFormat="1" applyFont="1"/>
    <xf numFmtId="165" fontId="0" fillId="0" borderId="2" xfId="1" applyNumberFormat="1" applyFont="1" applyBorder="1"/>
    <xf numFmtId="165" fontId="0" fillId="0" borderId="1" xfId="1" applyFont="1" applyFill="1" applyBorder="1"/>
    <xf numFmtId="39" fontId="9" fillId="0" borderId="0" xfId="0" quotePrefix="1" applyNumberFormat="1" applyFont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AC74"/>
  <sheetViews>
    <sheetView showGridLines="0" tabSelected="1" zoomScaleNormal="100" workbookViewId="0">
      <pane xSplit="2" ySplit="4" topLeftCell="D18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13.625" defaultRowHeight="15.75" x14ac:dyDescent="0.25"/>
  <cols>
    <col min="1" max="1" width="4.375" customWidth="1"/>
    <col min="2" max="2" width="32" customWidth="1"/>
    <col min="3" max="3" width="10.375" style="30" customWidth="1"/>
    <col min="4" max="4" width="10.5" customWidth="1"/>
    <col min="5" max="5" width="11" customWidth="1"/>
    <col min="6" max="6" width="10.125" style="30" customWidth="1"/>
    <col min="7" max="10" width="10.125" customWidth="1"/>
    <col min="11" max="12" width="11.5" customWidth="1"/>
    <col min="13" max="13" width="10.125" customWidth="1"/>
    <col min="14" max="14" width="12.625" customWidth="1"/>
    <col min="15" max="15" width="12" customWidth="1"/>
    <col min="17" max="17" width="13.625" style="37"/>
    <col min="18" max="18" width="13.625" style="3"/>
    <col min="19" max="19" width="13.625" style="63"/>
    <col min="20" max="20" width="13.625" style="3"/>
    <col min="23" max="23" width="13.75" style="69" bestFit="1" customWidth="1"/>
    <col min="24" max="24" width="13.625" style="69"/>
    <col min="25" max="25" width="14.375" bestFit="1" customWidth="1"/>
    <col min="26" max="28" width="13.625" style="69"/>
  </cols>
  <sheetData>
    <row r="1" spans="1:29" x14ac:dyDescent="0.25">
      <c r="A1" s="3" t="s">
        <v>107</v>
      </c>
    </row>
    <row r="2" spans="1:29" x14ac:dyDescent="0.25">
      <c r="A2" s="3" t="s">
        <v>108</v>
      </c>
      <c r="B2" s="3"/>
      <c r="C2" s="51"/>
      <c r="D2" s="52"/>
      <c r="E2" s="3"/>
      <c r="F2" s="31"/>
      <c r="G2" s="31"/>
      <c r="H2" s="31"/>
      <c r="I2" s="31"/>
      <c r="J2" s="3"/>
      <c r="K2" s="3"/>
      <c r="M2" s="3"/>
      <c r="N2" s="3"/>
      <c r="O2" s="3"/>
    </row>
    <row r="3" spans="1:29" x14ac:dyDescent="0.25">
      <c r="A3" s="84" t="s">
        <v>101</v>
      </c>
      <c r="B3" s="3"/>
      <c r="C3" s="31"/>
      <c r="D3" s="3"/>
      <c r="E3" s="3"/>
      <c r="F3" s="31"/>
      <c r="G3" s="3"/>
      <c r="H3" s="3"/>
      <c r="I3" s="3"/>
      <c r="J3" s="77"/>
      <c r="K3" s="3"/>
      <c r="L3" s="3"/>
      <c r="M3" s="3"/>
      <c r="N3" s="3"/>
      <c r="O3" s="3"/>
    </row>
    <row r="4" spans="1:29" x14ac:dyDescent="0.25">
      <c r="A4" s="3"/>
      <c r="C4" s="32" t="s">
        <v>1</v>
      </c>
      <c r="D4" s="4" t="s">
        <v>2</v>
      </c>
      <c r="E4" s="7" t="s">
        <v>3</v>
      </c>
      <c r="F4" s="32" t="s">
        <v>4</v>
      </c>
      <c r="G4" s="11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7" t="s">
        <v>10</v>
      </c>
      <c r="M4" s="7" t="s">
        <v>11</v>
      </c>
      <c r="N4" s="7" t="s">
        <v>62</v>
      </c>
      <c r="O4" s="4" t="s">
        <v>12</v>
      </c>
    </row>
    <row r="5" spans="1:29" x14ac:dyDescent="0.25">
      <c r="A5" s="2" t="s">
        <v>13</v>
      </c>
      <c r="B5" s="3"/>
      <c r="C5" s="24"/>
      <c r="D5" s="5"/>
      <c r="E5" s="5"/>
      <c r="F5" s="24"/>
      <c r="G5" s="3"/>
      <c r="H5" s="5"/>
      <c r="I5" s="5"/>
      <c r="J5" s="5"/>
      <c r="K5" s="5"/>
      <c r="L5" s="36"/>
      <c r="M5" s="36"/>
      <c r="N5" s="36"/>
      <c r="O5" s="5"/>
    </row>
    <row r="6" spans="1:29" s="19" customFormat="1" x14ac:dyDescent="0.25">
      <c r="B6" s="20" t="s">
        <v>14</v>
      </c>
      <c r="C6" s="28">
        <v>23320546</v>
      </c>
      <c r="D6" s="28">
        <v>28360420</v>
      </c>
      <c r="E6" s="28">
        <v>38632023</v>
      </c>
      <c r="F6" s="28">
        <v>48264537</v>
      </c>
      <c r="G6" s="28">
        <v>56891032</v>
      </c>
      <c r="H6" s="28">
        <v>65315592</v>
      </c>
      <c r="I6" s="28">
        <v>80421773</v>
      </c>
      <c r="J6" s="28">
        <v>89223114</v>
      </c>
      <c r="K6" s="28">
        <v>131462819</v>
      </c>
      <c r="L6" s="28">
        <v>140632016</v>
      </c>
      <c r="M6" s="28">
        <v>92025003</v>
      </c>
      <c r="N6" s="28">
        <v>106596890</v>
      </c>
      <c r="O6" s="28">
        <f>C6</f>
        <v>23320546</v>
      </c>
      <c r="Q6" s="37"/>
      <c r="R6" s="64"/>
      <c r="S6" s="63"/>
      <c r="T6" s="64"/>
      <c r="W6" s="69"/>
      <c r="X6" s="69"/>
      <c r="Z6" s="69"/>
      <c r="AA6" s="69"/>
      <c r="AB6" s="69"/>
    </row>
    <row r="7" spans="1:29" x14ac:dyDescent="0.25">
      <c r="B7" s="2" t="s">
        <v>15</v>
      </c>
      <c r="C7" s="38">
        <f>SUM(C6:C6)</f>
        <v>23320546</v>
      </c>
      <c r="D7" s="38">
        <f>SUM(D6:D6)</f>
        <v>28360420</v>
      </c>
      <c r="E7" s="38">
        <f>SUM(E6:E6)</f>
        <v>38632023</v>
      </c>
      <c r="F7" s="38">
        <f t="shared" ref="F7:N7" si="0">SUM(F6:F6)</f>
        <v>48264537</v>
      </c>
      <c r="G7" s="38">
        <f t="shared" si="0"/>
        <v>56891032</v>
      </c>
      <c r="H7" s="38">
        <f t="shared" si="0"/>
        <v>65315592</v>
      </c>
      <c r="I7" s="38">
        <f t="shared" si="0"/>
        <v>80421773</v>
      </c>
      <c r="J7" s="38">
        <f t="shared" si="0"/>
        <v>89223114</v>
      </c>
      <c r="K7" s="38">
        <f t="shared" si="0"/>
        <v>131462819</v>
      </c>
      <c r="L7" s="38">
        <f t="shared" si="0"/>
        <v>140632016</v>
      </c>
      <c r="M7" s="38">
        <f t="shared" si="0"/>
        <v>92025003</v>
      </c>
      <c r="N7" s="38">
        <f t="shared" si="0"/>
        <v>106596890</v>
      </c>
      <c r="O7" s="39">
        <f>SUM(O6:O6)</f>
        <v>23320546</v>
      </c>
      <c r="S7" s="63" t="s">
        <v>87</v>
      </c>
    </row>
    <row r="8" spans="1:29" x14ac:dyDescent="0.25">
      <c r="A8" s="2" t="s">
        <v>16</v>
      </c>
      <c r="B8" s="3"/>
      <c r="C8" s="41"/>
      <c r="D8" s="36"/>
      <c r="E8" s="36"/>
      <c r="F8" s="41"/>
      <c r="G8" s="37"/>
      <c r="H8" s="36"/>
      <c r="I8" s="36"/>
      <c r="J8" s="36"/>
      <c r="K8" s="36"/>
      <c r="L8" s="36"/>
      <c r="M8" s="36"/>
      <c r="N8" s="36"/>
      <c r="O8" s="36"/>
      <c r="Q8" s="68" t="s">
        <v>85</v>
      </c>
      <c r="S8" s="63" t="s">
        <v>95</v>
      </c>
      <c r="W8" s="69" t="s">
        <v>105</v>
      </c>
      <c r="X8" s="69" t="s">
        <v>104</v>
      </c>
      <c r="Y8" s="69" t="s">
        <v>103</v>
      </c>
      <c r="Z8" s="69" t="s">
        <v>102</v>
      </c>
      <c r="AA8" s="70" t="s">
        <v>99</v>
      </c>
      <c r="AB8" s="70" t="s">
        <v>100</v>
      </c>
    </row>
    <row r="9" spans="1:29" x14ac:dyDescent="0.25">
      <c r="A9" s="8" t="s">
        <v>17</v>
      </c>
      <c r="B9" s="3"/>
      <c r="C9" s="41"/>
      <c r="D9" s="36"/>
      <c r="E9" s="36"/>
      <c r="F9" s="41"/>
      <c r="G9" s="37"/>
      <c r="H9" s="36"/>
      <c r="I9" s="36"/>
      <c r="J9" s="36"/>
      <c r="K9" s="36"/>
      <c r="L9" s="36"/>
      <c r="M9" s="36"/>
      <c r="N9" s="36"/>
      <c r="O9" s="36"/>
      <c r="Q9" s="68" t="s">
        <v>86</v>
      </c>
    </row>
    <row r="10" spans="1:29" x14ac:dyDescent="0.25">
      <c r="B10" s="8" t="s">
        <v>50</v>
      </c>
      <c r="C10" s="41">
        <v>0</v>
      </c>
      <c r="D10" s="36"/>
      <c r="E10" s="41"/>
      <c r="F10" s="41"/>
      <c r="G10" s="41"/>
      <c r="H10" s="41"/>
      <c r="I10" s="41"/>
      <c r="J10" s="41"/>
      <c r="K10" s="36"/>
      <c r="L10" s="41"/>
      <c r="M10" s="41"/>
      <c r="N10" s="41"/>
      <c r="O10" s="36">
        <f t="shared" ref="O10:O17" si="1">SUM(C10:N10)</f>
        <v>0</v>
      </c>
      <c r="R10" s="3">
        <v>2199</v>
      </c>
      <c r="S10" s="63">
        <f t="shared" ref="S10:S12" si="2">+W10</f>
        <v>0</v>
      </c>
      <c r="T10" s="3" t="s">
        <v>88</v>
      </c>
      <c r="AC10" s="72"/>
    </row>
    <row r="11" spans="1:29" x14ac:dyDescent="0.25">
      <c r="B11" s="8" t="s">
        <v>49</v>
      </c>
      <c r="C11" s="41">
        <v>1071358</v>
      </c>
      <c r="D11" s="41">
        <f>1285134-63135-106205-360000</f>
        <v>755794</v>
      </c>
      <c r="E11" s="41">
        <v>516452.64</v>
      </c>
      <c r="F11" s="41">
        <v>278639</v>
      </c>
      <c r="G11" s="41">
        <v>254637</v>
      </c>
      <c r="H11" s="41">
        <f>775984+45762</f>
        <v>821746</v>
      </c>
      <c r="I11" s="41">
        <f>496637+101250</f>
        <v>597887</v>
      </c>
      <c r="J11" s="41">
        <v>158137</v>
      </c>
      <c r="K11" s="41">
        <f>264000+67500</f>
        <v>331500</v>
      </c>
      <c r="L11" s="41">
        <v>206639</v>
      </c>
      <c r="M11" s="41">
        <v>198898</v>
      </c>
      <c r="N11" s="41">
        <v>91993</v>
      </c>
      <c r="O11" s="36">
        <f>SUM(C11:N11)</f>
        <v>5283680.6400000006</v>
      </c>
      <c r="R11" s="3">
        <v>2041</v>
      </c>
      <c r="S11" s="63">
        <f t="shared" si="2"/>
        <v>0</v>
      </c>
      <c r="T11" s="3" t="s">
        <v>63</v>
      </c>
      <c r="AC11" s="72"/>
    </row>
    <row r="12" spans="1:29" ht="15" customHeight="1" x14ac:dyDescent="0.25">
      <c r="B12" s="8" t="s">
        <v>18</v>
      </c>
      <c r="C12" s="41"/>
      <c r="D12" s="41"/>
      <c r="E12" s="41"/>
      <c r="F12" s="41">
        <v>80892</v>
      </c>
      <c r="G12" s="41"/>
      <c r="H12" s="30"/>
      <c r="I12" s="41">
        <v>100388</v>
      </c>
      <c r="J12" s="41"/>
      <c r="K12" s="41"/>
      <c r="L12" s="41">
        <v>207829</v>
      </c>
      <c r="M12" s="41"/>
      <c r="N12" s="41">
        <v>182459</v>
      </c>
      <c r="O12" s="36">
        <f t="shared" si="1"/>
        <v>571568</v>
      </c>
      <c r="R12" s="3">
        <v>2410</v>
      </c>
      <c r="S12" s="63">
        <f t="shared" si="2"/>
        <v>0</v>
      </c>
      <c r="T12" s="3" t="s">
        <v>89</v>
      </c>
      <c r="AC12" s="72"/>
    </row>
    <row r="13" spans="1:29" ht="15.75" customHeight="1" x14ac:dyDescent="0.25">
      <c r="B13" s="2" t="s">
        <v>106</v>
      </c>
      <c r="C13" s="41"/>
      <c r="D13" s="41"/>
      <c r="E13" s="41"/>
      <c r="F13" s="41"/>
      <c r="G13" s="41"/>
      <c r="H13" s="30"/>
      <c r="I13" s="41">
        <v>10</v>
      </c>
      <c r="J13" s="41"/>
      <c r="K13" s="41">
        <v>10</v>
      </c>
      <c r="L13" s="41"/>
      <c r="M13" s="41"/>
      <c r="N13" s="41"/>
      <c r="O13" s="36">
        <f t="shared" si="1"/>
        <v>20</v>
      </c>
      <c r="R13" s="3">
        <v>2421</v>
      </c>
      <c r="S13" s="63">
        <f>+W13</f>
        <v>76250</v>
      </c>
      <c r="T13" s="3" t="s">
        <v>64</v>
      </c>
      <c r="W13" s="69">
        <f>44325+31925</f>
        <v>76250</v>
      </c>
      <c r="Y13" s="69"/>
      <c r="AC13" s="72"/>
    </row>
    <row r="14" spans="1:29" x14ac:dyDescent="0.25">
      <c r="B14" s="8" t="s">
        <v>19</v>
      </c>
      <c r="C14" s="41"/>
      <c r="D14" s="41"/>
      <c r="E14" s="41"/>
      <c r="F14" s="41">
        <v>-9650</v>
      </c>
      <c r="G14" s="41"/>
      <c r="H14" s="30"/>
      <c r="I14" s="41">
        <v>-18543</v>
      </c>
      <c r="J14" s="41"/>
      <c r="K14" s="41"/>
      <c r="L14" s="41">
        <v>-30410</v>
      </c>
      <c r="M14" s="41"/>
      <c r="N14" s="41">
        <v>-29129</v>
      </c>
      <c r="O14" s="36">
        <f t="shared" si="1"/>
        <v>-87732</v>
      </c>
      <c r="R14" s="3">
        <v>7102</v>
      </c>
      <c r="S14" s="63">
        <f t="shared" ref="S14:S37" si="3">+W14</f>
        <v>0</v>
      </c>
      <c r="T14" s="3" t="s">
        <v>90</v>
      </c>
      <c r="Y14" s="69"/>
      <c r="AC14" s="72"/>
    </row>
    <row r="15" spans="1:29" x14ac:dyDescent="0.25">
      <c r="B15" s="8" t="s">
        <v>20</v>
      </c>
      <c r="C15" s="41"/>
      <c r="D15" s="41"/>
      <c r="E15" s="41"/>
      <c r="F15" s="41">
        <v>84941</v>
      </c>
      <c r="G15" s="41"/>
      <c r="H15" s="30"/>
      <c r="I15" s="41">
        <v>132175</v>
      </c>
      <c r="J15" s="41"/>
      <c r="K15" s="41"/>
      <c r="L15" s="41">
        <v>196085</v>
      </c>
      <c r="M15" s="41"/>
      <c r="N15" s="41">
        <v>128186</v>
      </c>
      <c r="O15" s="36">
        <f t="shared" si="1"/>
        <v>541387</v>
      </c>
      <c r="R15" s="3">
        <v>7103</v>
      </c>
      <c r="S15" s="63">
        <f t="shared" si="3"/>
        <v>0</v>
      </c>
      <c r="T15" s="3" t="s">
        <v>65</v>
      </c>
      <c r="Y15" s="69"/>
      <c r="AC15" s="72"/>
    </row>
    <row r="16" spans="1:29" x14ac:dyDescent="0.25">
      <c r="B16" s="8" t="s">
        <v>21</v>
      </c>
      <c r="C16" s="41">
        <v>36825</v>
      </c>
      <c r="D16" s="41">
        <v>37568</v>
      </c>
      <c r="E16" s="41">
        <v>4234.7299999999996</v>
      </c>
      <c r="F16" s="41">
        <v>5221</v>
      </c>
      <c r="G16" s="41">
        <v>1200</v>
      </c>
      <c r="H16" s="41">
        <v>9879</v>
      </c>
      <c r="I16" s="41">
        <v>12075</v>
      </c>
      <c r="J16" s="41">
        <v>17473</v>
      </c>
      <c r="K16" s="41">
        <v>89972</v>
      </c>
      <c r="L16" s="41">
        <v>5261</v>
      </c>
      <c r="M16" s="41">
        <v>28709</v>
      </c>
      <c r="N16" s="41">
        <v>54825</v>
      </c>
      <c r="O16" s="36">
        <f t="shared" si="1"/>
        <v>303242.73</v>
      </c>
      <c r="R16" s="3">
        <v>7108</v>
      </c>
      <c r="S16" s="63">
        <f t="shared" si="3"/>
        <v>0</v>
      </c>
      <c r="T16" s="3" t="s">
        <v>66</v>
      </c>
      <c r="Y16" s="69"/>
      <c r="AC16" s="72"/>
    </row>
    <row r="17" spans="1:29" x14ac:dyDescent="0.25">
      <c r="A17" s="35" t="s">
        <v>51</v>
      </c>
      <c r="B17" s="34"/>
      <c r="C17" s="41">
        <f>2291600+278634+354018+750000</f>
        <v>3674252</v>
      </c>
      <c r="D17" s="41">
        <f>4245124-278634-354018-750000</f>
        <v>2862472</v>
      </c>
      <c r="E17" s="41">
        <v>2007369</v>
      </c>
      <c r="F17" s="41">
        <v>1314657</v>
      </c>
      <c r="G17" s="41">
        <v>1336189</v>
      </c>
      <c r="H17" s="41">
        <f>6017584+2763441</f>
        <v>8781025</v>
      </c>
      <c r="I17" s="41">
        <f>1869027+375000</f>
        <v>2244027</v>
      </c>
      <c r="J17" s="41">
        <v>680974</v>
      </c>
      <c r="K17" s="41">
        <f>1498718+250000</f>
        <v>1748718</v>
      </c>
      <c r="L17" s="41">
        <v>1215224</v>
      </c>
      <c r="M17" s="41">
        <v>8513381</v>
      </c>
      <c r="N17" s="41">
        <v>933101</v>
      </c>
      <c r="O17" s="36">
        <f t="shared" si="1"/>
        <v>35311389</v>
      </c>
      <c r="R17" s="3">
        <v>7109</v>
      </c>
      <c r="S17" s="63">
        <f t="shared" si="3"/>
        <v>1114580.8900000001</v>
      </c>
      <c r="T17" s="3" t="s">
        <v>91</v>
      </c>
      <c r="W17" s="69">
        <f>579357.14+696.07+534527.68</f>
        <v>1114580.8900000001</v>
      </c>
      <c r="Y17" s="69"/>
      <c r="AC17" s="72"/>
    </row>
    <row r="18" spans="1:29" x14ac:dyDescent="0.25">
      <c r="A18" s="8" t="s">
        <v>22</v>
      </c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36">
        <f>SUM(C18:N18)</f>
        <v>0</v>
      </c>
      <c r="R18" s="3">
        <v>8000</v>
      </c>
      <c r="S18" s="63">
        <f t="shared" si="3"/>
        <v>2055</v>
      </c>
      <c r="T18" s="3" t="s">
        <v>67</v>
      </c>
      <c r="W18" s="69">
        <f>1400+655</f>
        <v>2055</v>
      </c>
      <c r="Y18" s="69"/>
      <c r="AC18" s="72"/>
    </row>
    <row r="19" spans="1:29" x14ac:dyDescent="0.25">
      <c r="A19" s="8" t="s">
        <v>23</v>
      </c>
      <c r="B19" s="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6"/>
      <c r="R19" s="3">
        <v>8110</v>
      </c>
      <c r="S19" s="63">
        <f t="shared" si="3"/>
        <v>10159167.109999999</v>
      </c>
      <c r="T19" s="3" t="s">
        <v>92</v>
      </c>
      <c r="W19" s="69">
        <f>4859769.33+1578.1+5297819.68</f>
        <v>10159167.109999999</v>
      </c>
      <c r="Y19" s="69"/>
      <c r="AC19" s="72"/>
    </row>
    <row r="20" spans="1:29" x14ac:dyDescent="0.25">
      <c r="B20" s="8" t="s">
        <v>24</v>
      </c>
      <c r="C20" s="41"/>
      <c r="D20" s="41"/>
      <c r="E20" s="41"/>
      <c r="F20" s="41"/>
      <c r="G20" s="41"/>
      <c r="H20" s="41"/>
      <c r="I20" s="41"/>
      <c r="J20" s="41">
        <v>35000000</v>
      </c>
      <c r="K20" s="41"/>
      <c r="L20" s="41"/>
      <c r="M20" s="41"/>
      <c r="N20" s="41">
        <v>40000000</v>
      </c>
      <c r="O20" s="36">
        <f t="shared" ref="O20:O26" si="4">SUM(C20:N20)</f>
        <v>75000000</v>
      </c>
      <c r="R20" s="3">
        <v>8111</v>
      </c>
      <c r="S20" s="63">
        <f t="shared" si="3"/>
        <v>20889.72</v>
      </c>
      <c r="T20" s="3" t="s">
        <v>93</v>
      </c>
      <c r="W20" s="69">
        <f>20806.72+83</f>
        <v>20889.72</v>
      </c>
      <c r="Y20" s="69"/>
      <c r="AC20" s="72"/>
    </row>
    <row r="21" spans="1:29" x14ac:dyDescent="0.25">
      <c r="B21" s="8" t="s">
        <v>25</v>
      </c>
      <c r="C21" s="41"/>
      <c r="D21" s="41">
        <v>454524</v>
      </c>
      <c r="E21" s="41">
        <v>435391</v>
      </c>
      <c r="F21" s="41">
        <f>403782+10258</f>
        <v>414040</v>
      </c>
      <c r="G21" s="41">
        <v>425012</v>
      </c>
      <c r="H21" s="41">
        <v>368657</v>
      </c>
      <c r="I21" s="41">
        <f>367937+5499</f>
        <v>373436</v>
      </c>
      <c r="J21" s="41">
        <v>406743</v>
      </c>
      <c r="K21" s="41">
        <v>679972</v>
      </c>
      <c r="L21" s="41">
        <f>635820+7758</f>
        <v>643578</v>
      </c>
      <c r="M21" s="41">
        <v>710673</v>
      </c>
      <c r="N21" s="41">
        <f>1114581+11169</f>
        <v>1125750</v>
      </c>
      <c r="O21" s="36">
        <f t="shared" si="4"/>
        <v>6037776</v>
      </c>
      <c r="Q21" s="37">
        <f>ROUND(SUMIF($R$10:$R$41,7109,$S$10:$S$41),0)</f>
        <v>1114581</v>
      </c>
      <c r="R21" s="3">
        <v>8112</v>
      </c>
      <c r="S21" s="63">
        <f t="shared" si="3"/>
        <v>0</v>
      </c>
      <c r="T21" s="3" t="s">
        <v>68</v>
      </c>
      <c r="Y21" s="69"/>
      <c r="AC21" s="72"/>
    </row>
    <row r="22" spans="1:29" x14ac:dyDescent="0.25">
      <c r="B22" s="2" t="s">
        <v>61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>
        <v>316251</v>
      </c>
      <c r="O22" s="36">
        <f t="shared" si="4"/>
        <v>316251</v>
      </c>
      <c r="R22" s="3">
        <v>8116</v>
      </c>
      <c r="S22" s="63">
        <f t="shared" si="3"/>
        <v>0</v>
      </c>
      <c r="T22" s="3" t="s">
        <v>69</v>
      </c>
      <c r="Y22" s="69"/>
      <c r="AC22" s="72"/>
    </row>
    <row r="23" spans="1:29" x14ac:dyDescent="0.25">
      <c r="B23" s="8" t="s">
        <v>26</v>
      </c>
      <c r="C23" s="41"/>
      <c r="D23" s="41"/>
      <c r="E23" s="41">
        <v>0</v>
      </c>
      <c r="F23" s="41"/>
      <c r="G23" s="41">
        <v>0</v>
      </c>
      <c r="H23" s="41"/>
      <c r="I23" s="41"/>
      <c r="J23" s="41">
        <v>-300</v>
      </c>
      <c r="K23" s="41">
        <v>0</v>
      </c>
      <c r="L23" s="41">
        <v>-200</v>
      </c>
      <c r="M23" s="41">
        <v>-100</v>
      </c>
      <c r="N23" s="41">
        <v>0</v>
      </c>
      <c r="O23" s="36">
        <f t="shared" si="4"/>
        <v>-600</v>
      </c>
      <c r="Q23" s="37">
        <f>ROUND(SUMIF($R$10:$R$41,8402,$S$10:$S$41),0)</f>
        <v>0</v>
      </c>
      <c r="R23" s="3">
        <v>8135</v>
      </c>
      <c r="S23" s="63">
        <f t="shared" si="3"/>
        <v>0</v>
      </c>
      <c r="T23" s="3" t="s">
        <v>70</v>
      </c>
      <c r="Y23" s="69"/>
      <c r="AC23" s="72"/>
    </row>
    <row r="24" spans="1:29" x14ac:dyDescent="0.25">
      <c r="B24" s="8" t="s">
        <v>27</v>
      </c>
      <c r="C24" s="41"/>
      <c r="D24" s="41">
        <v>836861</v>
      </c>
      <c r="E24" s="41">
        <v>1108271</v>
      </c>
      <c r="F24" s="41">
        <v>954442</v>
      </c>
      <c r="G24" s="41">
        <v>724520</v>
      </c>
      <c r="H24" s="41">
        <v>676390</v>
      </c>
      <c r="I24" s="41">
        <v>1620480</v>
      </c>
      <c r="J24" s="41">
        <v>747146</v>
      </c>
      <c r="K24" s="41">
        <v>658115</v>
      </c>
      <c r="L24" s="41"/>
      <c r="M24" s="41">
        <v>114394</v>
      </c>
      <c r="N24" s="41">
        <v>2393745</v>
      </c>
      <c r="O24" s="36">
        <f t="shared" si="4"/>
        <v>9834364</v>
      </c>
      <c r="Q24" s="37">
        <f>ROUND(SUMIF($R$10:$R$41,9007,$S$10:$S$41),0)</f>
        <v>2393745</v>
      </c>
      <c r="R24" s="3">
        <v>8142</v>
      </c>
      <c r="S24" s="63">
        <f t="shared" si="3"/>
        <v>0</v>
      </c>
      <c r="T24" s="3" t="s">
        <v>71</v>
      </c>
      <c r="Y24" s="69"/>
      <c r="AC24" s="72"/>
    </row>
    <row r="25" spans="1:29" x14ac:dyDescent="0.25">
      <c r="B25" s="8" t="s">
        <v>28</v>
      </c>
      <c r="C25" s="41">
        <f>257439</f>
        <v>257439</v>
      </c>
      <c r="D25" s="41">
        <f>18557+5305827</f>
        <v>5324384</v>
      </c>
      <c r="E25" s="41">
        <v>5560796</v>
      </c>
      <c r="F25" s="41">
        <v>5503313</v>
      </c>
      <c r="G25" s="41">
        <v>5683002</v>
      </c>
      <c r="H25" s="41">
        <v>4557616</v>
      </c>
      <c r="I25" s="41">
        <v>4448557</v>
      </c>
      <c r="J25" s="41">
        <v>5229532</v>
      </c>
      <c r="K25" s="41">
        <v>5660910</v>
      </c>
      <c r="L25" s="41">
        <v>5894703</v>
      </c>
      <c r="M25" s="41">
        <v>5005932</v>
      </c>
      <c r="N25" s="41">
        <v>10565444</v>
      </c>
      <c r="O25" s="36">
        <f t="shared" si="4"/>
        <v>63691628</v>
      </c>
      <c r="Q25" s="37">
        <f>ROUND(SUMIF($R$10:$R$42,"Total",$S$10:$S$42),0)-SUM(Q11:Q24)+W39</f>
        <v>10565443.550000001</v>
      </c>
      <c r="R25" s="3">
        <v>8144</v>
      </c>
      <c r="S25" s="63">
        <f t="shared" si="3"/>
        <v>328148</v>
      </c>
      <c r="T25" s="3" t="s">
        <v>72</v>
      </c>
      <c r="W25" s="69">
        <f>116348+211800</f>
        <v>328148</v>
      </c>
      <c r="Y25" s="69"/>
      <c r="AC25" s="72"/>
    </row>
    <row r="26" spans="1:29" x14ac:dyDescent="0.25">
      <c r="B26" s="8" t="s">
        <v>29</v>
      </c>
      <c r="C26" s="38">
        <v>0</v>
      </c>
      <c r="D26" s="39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>
        <v>0</v>
      </c>
      <c r="K26" s="39">
        <v>0</v>
      </c>
      <c r="L26" s="38">
        <v>0</v>
      </c>
      <c r="M26" s="38">
        <v>0</v>
      </c>
      <c r="N26" s="38">
        <v>0</v>
      </c>
      <c r="O26" s="39">
        <f t="shared" si="4"/>
        <v>0</v>
      </c>
      <c r="R26" s="3">
        <v>8170</v>
      </c>
      <c r="S26" s="63">
        <f t="shared" si="3"/>
        <v>0</v>
      </c>
      <c r="T26" s="3" t="s">
        <v>73</v>
      </c>
      <c r="Y26" s="69"/>
      <c r="AC26" s="72"/>
    </row>
    <row r="27" spans="1:29" x14ac:dyDescent="0.25">
      <c r="B27" s="2" t="s">
        <v>30</v>
      </c>
      <c r="C27" s="38">
        <f>SUM(C20:C26)</f>
        <v>257439</v>
      </c>
      <c r="D27" s="39">
        <f>SUM(D20:D26)</f>
        <v>6615769</v>
      </c>
      <c r="E27" s="39">
        <f>SUM(E20:E26)</f>
        <v>7104458</v>
      </c>
      <c r="F27" s="38">
        <f>SUM(F20:F26)</f>
        <v>6871795</v>
      </c>
      <c r="G27" s="39">
        <f t="shared" ref="G27:J27" si="5">SUM(G20:G26)</f>
        <v>6832534</v>
      </c>
      <c r="H27" s="39">
        <f>SUM(H20:H26)</f>
        <v>5602663</v>
      </c>
      <c r="I27" s="39">
        <f>SUM(I20:I26)</f>
        <v>6442473</v>
      </c>
      <c r="J27" s="39">
        <f t="shared" si="5"/>
        <v>41383121</v>
      </c>
      <c r="K27" s="39">
        <f>SUM(K20:K26)</f>
        <v>6998997</v>
      </c>
      <c r="L27" s="38">
        <f>SUM(L20:L26)</f>
        <v>6538081</v>
      </c>
      <c r="M27" s="38">
        <f>SUM(M20:M26)</f>
        <v>5830899</v>
      </c>
      <c r="N27" s="38">
        <f>SUM(N20:N26)</f>
        <v>54401190</v>
      </c>
      <c r="O27" s="39">
        <f>SUM(O20:O26)</f>
        <v>154879419</v>
      </c>
      <c r="Q27" s="37">
        <f>SUM(Q11:Q26)</f>
        <v>14073769.550000001</v>
      </c>
      <c r="R27" s="3">
        <v>8182</v>
      </c>
      <c r="S27" s="63">
        <f t="shared" si="3"/>
        <v>0</v>
      </c>
      <c r="T27" s="3" t="s">
        <v>74</v>
      </c>
      <c r="Y27" s="69"/>
      <c r="AC27" s="72"/>
    </row>
    <row r="28" spans="1:29" s="18" customFormat="1" x14ac:dyDescent="0.25">
      <c r="B28" s="21" t="s">
        <v>31</v>
      </c>
      <c r="C28" s="38">
        <f>SUM(C10:C26)</f>
        <v>5039874</v>
      </c>
      <c r="D28" s="39">
        <f>SUM(D10:D26)</f>
        <v>10271603</v>
      </c>
      <c r="E28" s="39">
        <f t="shared" ref="E28:H28" si="6">SUM(E10:E26)</f>
        <v>9632514.370000001</v>
      </c>
      <c r="F28" s="38">
        <f>SUM(F10:F26)</f>
        <v>8626495</v>
      </c>
      <c r="G28" s="39">
        <f t="shared" si="6"/>
        <v>8424560</v>
      </c>
      <c r="H28" s="39">
        <f t="shared" si="6"/>
        <v>15215313</v>
      </c>
      <c r="I28" s="39">
        <f>SUM(I10:I26)</f>
        <v>9510492</v>
      </c>
      <c r="J28" s="39">
        <f>SUM(J10:J25)</f>
        <v>42239705</v>
      </c>
      <c r="K28" s="39">
        <f>SUM(K10:K26)</f>
        <v>9169197</v>
      </c>
      <c r="L28" s="38">
        <f>SUM(L10:L26)</f>
        <v>8338709</v>
      </c>
      <c r="M28" s="38">
        <f>SUM(M10:M26)</f>
        <v>14571887</v>
      </c>
      <c r="N28" s="38">
        <f>SUM(N10:N26)</f>
        <v>55762625</v>
      </c>
      <c r="O28" s="39">
        <f>SUM(O10:O26)</f>
        <v>196802974.37</v>
      </c>
      <c r="Q28" s="37"/>
      <c r="R28" s="3">
        <v>8199</v>
      </c>
      <c r="S28" s="63">
        <f t="shared" si="3"/>
        <v>-39057.46</v>
      </c>
      <c r="T28" s="13" t="s">
        <v>75</v>
      </c>
      <c r="W28" s="69">
        <f>-20118.85-18938.61</f>
        <v>-39057.46</v>
      </c>
      <c r="X28" s="69"/>
      <c r="Y28" s="69"/>
      <c r="Z28" s="69"/>
      <c r="AA28" s="69"/>
      <c r="AB28" s="69"/>
      <c r="AC28" s="72"/>
    </row>
    <row r="29" spans="1:29" x14ac:dyDescent="0.25">
      <c r="A29" s="2" t="s">
        <v>32</v>
      </c>
      <c r="B29" s="3"/>
      <c r="C29" s="24"/>
      <c r="D29" s="5"/>
      <c r="E29" s="5"/>
      <c r="F29" s="24"/>
      <c r="G29" s="12"/>
      <c r="H29" s="5"/>
      <c r="I29" s="5"/>
      <c r="J29" s="5"/>
      <c r="K29" s="5"/>
      <c r="L29" s="41"/>
      <c r="M29" s="41"/>
      <c r="N29" s="41"/>
      <c r="O29" s="36"/>
      <c r="R29" s="3">
        <v>8310</v>
      </c>
      <c r="S29" s="63">
        <f t="shared" si="3"/>
        <v>0</v>
      </c>
      <c r="T29" s="3" t="s">
        <v>76</v>
      </c>
      <c r="Y29" s="69"/>
      <c r="AC29" s="72"/>
    </row>
    <row r="30" spans="1:29" x14ac:dyDescent="0.25">
      <c r="B30" s="8" t="s">
        <v>33</v>
      </c>
      <c r="C30" s="43">
        <v>0</v>
      </c>
      <c r="D30" s="43"/>
      <c r="E30" s="43"/>
      <c r="F30" s="43"/>
      <c r="G30" s="43"/>
      <c r="H30" s="43"/>
      <c r="I30" s="43">
        <v>709151</v>
      </c>
      <c r="J30" s="43"/>
      <c r="K30" s="43"/>
      <c r="L30" s="43"/>
      <c r="M30" s="43"/>
      <c r="N30" s="43"/>
      <c r="O30" s="36">
        <f t="shared" ref="O30:O37" si="7">SUM(C30:N30)</f>
        <v>709151</v>
      </c>
      <c r="R30" s="3">
        <v>8311</v>
      </c>
      <c r="S30" s="63">
        <f t="shared" si="3"/>
        <v>0</v>
      </c>
      <c r="T30" s="3" t="s">
        <v>77</v>
      </c>
      <c r="Y30" s="69"/>
      <c r="AC30" s="72"/>
    </row>
    <row r="31" spans="1:29" x14ac:dyDescent="0.25">
      <c r="B31" s="8" t="s">
        <v>34</v>
      </c>
      <c r="C31" s="43"/>
      <c r="D31" s="43"/>
      <c r="E31" s="43"/>
      <c r="F31" s="61"/>
      <c r="G31" s="43"/>
      <c r="H31" s="43"/>
      <c r="I31" s="43"/>
      <c r="J31" s="43"/>
      <c r="K31" s="43"/>
      <c r="L31" s="43">
        <v>56945722</v>
      </c>
      <c r="M31" s="43"/>
      <c r="N31" s="43"/>
      <c r="O31" s="36">
        <f t="shared" si="7"/>
        <v>56945722</v>
      </c>
      <c r="R31" s="3">
        <v>8315</v>
      </c>
      <c r="S31" s="63">
        <f t="shared" si="3"/>
        <v>0</v>
      </c>
      <c r="T31" s="3" t="s">
        <v>78</v>
      </c>
      <c r="Y31" s="69"/>
      <c r="AC31" s="72"/>
    </row>
    <row r="32" spans="1:29" x14ac:dyDescent="0.25">
      <c r="B32" s="8" t="s">
        <v>29</v>
      </c>
      <c r="C32" s="43"/>
      <c r="D32" s="43">
        <v>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36">
        <f t="shared" si="7"/>
        <v>0</v>
      </c>
      <c r="R32" s="3">
        <v>8402</v>
      </c>
      <c r="S32" s="63">
        <f t="shared" si="3"/>
        <v>0</v>
      </c>
      <c r="T32" s="3" t="s">
        <v>79</v>
      </c>
      <c r="Y32" s="69"/>
      <c r="AC32" s="72"/>
    </row>
    <row r="33" spans="1:29" x14ac:dyDescent="0.25">
      <c r="B33" s="8" t="s">
        <v>35</v>
      </c>
      <c r="C33" s="43"/>
      <c r="D33" s="43">
        <v>0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36">
        <f t="shared" si="7"/>
        <v>0</v>
      </c>
      <c r="R33" s="3">
        <v>9000</v>
      </c>
      <c r="S33" s="63">
        <f t="shared" si="3"/>
        <v>0</v>
      </c>
      <c r="T33" s="3" t="s">
        <v>80</v>
      </c>
      <c r="Y33" s="69"/>
      <c r="AC33" s="72"/>
    </row>
    <row r="34" spans="1:29" x14ac:dyDescent="0.25">
      <c r="B34" s="8" t="s">
        <v>36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6">
        <f t="shared" si="7"/>
        <v>0</v>
      </c>
      <c r="R34" s="3">
        <v>9001</v>
      </c>
      <c r="S34" s="63">
        <f t="shared" si="3"/>
        <v>0</v>
      </c>
      <c r="T34" s="3" t="s">
        <v>81</v>
      </c>
      <c r="Y34" s="69"/>
      <c r="AC34" s="72"/>
    </row>
    <row r="35" spans="1:29" x14ac:dyDescent="0.25">
      <c r="B35" s="2" t="s">
        <v>46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0">
        <f t="shared" si="7"/>
        <v>0</v>
      </c>
      <c r="R35" s="3">
        <v>9007</v>
      </c>
      <c r="S35" s="63">
        <f t="shared" si="3"/>
        <v>2393744.5</v>
      </c>
      <c r="T35" s="3" t="s">
        <v>82</v>
      </c>
      <c r="W35" s="69">
        <f>995236.75+1398507.75</f>
        <v>2393744.5</v>
      </c>
      <c r="Y35" s="69"/>
      <c r="AC35" s="72"/>
    </row>
    <row r="36" spans="1:29" x14ac:dyDescent="0.25">
      <c r="B36" s="8" t="s">
        <v>48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>
        <v>144438573</v>
      </c>
      <c r="O36" s="40">
        <f>SUM(C36:N36)</f>
        <v>144438573</v>
      </c>
      <c r="R36" s="3">
        <v>9060</v>
      </c>
      <c r="S36" s="63">
        <f t="shared" si="3"/>
        <v>0</v>
      </c>
      <c r="T36" s="3" t="s">
        <v>83</v>
      </c>
      <c r="Y36" s="69"/>
      <c r="AC36" s="72"/>
    </row>
    <row r="37" spans="1:29" x14ac:dyDescent="0.25">
      <c r="B37" s="2" t="s">
        <v>47</v>
      </c>
      <c r="C37" s="43">
        <v>0</v>
      </c>
      <c r="D37" s="48">
        <v>0</v>
      </c>
      <c r="E37" s="48">
        <v>0</v>
      </c>
      <c r="F37" s="48">
        <v>0</v>
      </c>
      <c r="G37" s="48">
        <v>0</v>
      </c>
      <c r="H37" s="43">
        <v>109132</v>
      </c>
      <c r="I37" s="43">
        <v>0</v>
      </c>
      <c r="J37" s="43">
        <v>0</v>
      </c>
      <c r="K37" s="43">
        <v>0</v>
      </c>
      <c r="L37" s="43">
        <v>0</v>
      </c>
      <c r="M37" s="83">
        <v>0</v>
      </c>
      <c r="N37" s="38">
        <v>0</v>
      </c>
      <c r="O37" s="40">
        <f t="shared" si="7"/>
        <v>109132</v>
      </c>
      <c r="R37" s="3">
        <v>9084</v>
      </c>
      <c r="S37" s="63">
        <f t="shared" si="3"/>
        <v>-3348.64</v>
      </c>
      <c r="T37" s="3" t="s">
        <v>94</v>
      </c>
      <c r="W37" s="69">
        <v>-3348.64</v>
      </c>
      <c r="Y37" s="69"/>
      <c r="AC37" s="72"/>
    </row>
    <row r="38" spans="1:29" x14ac:dyDescent="0.25">
      <c r="B38" s="8" t="s">
        <v>37</v>
      </c>
      <c r="C38" s="47">
        <f t="shared" ref="C38:N38" si="8">SUM(C35:C37)</f>
        <v>0</v>
      </c>
      <c r="D38" s="39">
        <f t="shared" si="8"/>
        <v>0</v>
      </c>
      <c r="E38" s="39">
        <f t="shared" si="8"/>
        <v>0</v>
      </c>
      <c r="F38" s="38">
        <f t="shared" si="8"/>
        <v>0</v>
      </c>
      <c r="G38" s="42">
        <f t="shared" si="8"/>
        <v>0</v>
      </c>
      <c r="H38" s="42">
        <f t="shared" si="8"/>
        <v>109132</v>
      </c>
      <c r="I38" s="42">
        <f t="shared" si="8"/>
        <v>0</v>
      </c>
      <c r="J38" s="42">
        <f t="shared" si="8"/>
        <v>0</v>
      </c>
      <c r="K38" s="42">
        <f t="shared" si="8"/>
        <v>0</v>
      </c>
      <c r="L38" s="47">
        <f t="shared" si="8"/>
        <v>0</v>
      </c>
      <c r="M38" s="38">
        <f t="shared" si="8"/>
        <v>0</v>
      </c>
      <c r="N38" s="38">
        <f t="shared" si="8"/>
        <v>144438573</v>
      </c>
      <c r="O38" s="42">
        <f>SUM(O35:O37)</f>
        <v>144547705</v>
      </c>
      <c r="T38" s="3" t="s">
        <v>96</v>
      </c>
    </row>
    <row r="39" spans="1:29" s="18" customFormat="1" x14ac:dyDescent="0.25">
      <c r="B39" s="22" t="s">
        <v>38</v>
      </c>
      <c r="C39" s="38">
        <f>SUM(C30:C37)</f>
        <v>0</v>
      </c>
      <c r="D39" s="39">
        <f>SUM(D30:D37)</f>
        <v>0</v>
      </c>
      <c r="E39" s="39">
        <f>SUM(E30:E37)</f>
        <v>0</v>
      </c>
      <c r="F39" s="38">
        <f>SUM(F30:F37)</f>
        <v>0</v>
      </c>
      <c r="G39" s="39">
        <f t="shared" ref="G39:N39" si="9">SUM(G30:G37)</f>
        <v>0</v>
      </c>
      <c r="H39" s="39">
        <f t="shared" si="9"/>
        <v>109132</v>
      </c>
      <c r="I39" s="38">
        <f>SUM(I30:I37)</f>
        <v>709151</v>
      </c>
      <c r="J39" s="39">
        <f t="shared" si="9"/>
        <v>0</v>
      </c>
      <c r="K39" s="39">
        <f t="shared" si="9"/>
        <v>0</v>
      </c>
      <c r="L39" s="38">
        <f>SUM(L30:L37)</f>
        <v>56945722</v>
      </c>
      <c r="M39" s="38">
        <f>SUM(M30:M37)</f>
        <v>0</v>
      </c>
      <c r="N39" s="38">
        <f t="shared" si="9"/>
        <v>144438573</v>
      </c>
      <c r="O39" s="39">
        <f>SUM(O30:O37)</f>
        <v>202202578</v>
      </c>
      <c r="Q39" s="37"/>
      <c r="R39" s="67"/>
      <c r="S39" s="63"/>
      <c r="T39" s="13" t="s">
        <v>97</v>
      </c>
      <c r="W39" s="69">
        <v>21340.55</v>
      </c>
      <c r="X39" s="69"/>
      <c r="Z39" s="69"/>
      <c r="AA39" s="69"/>
      <c r="AB39" s="69"/>
    </row>
    <row r="40" spans="1:29" ht="15.75" customHeight="1" x14ac:dyDescent="0.25">
      <c r="A40" s="3"/>
      <c r="B40" s="3"/>
      <c r="C40" s="24"/>
      <c r="D40" s="5"/>
      <c r="E40" s="5"/>
      <c r="F40" s="24"/>
      <c r="G40" s="12"/>
      <c r="H40" s="15">
        <f>H7+H28-H39</f>
        <v>80421773</v>
      </c>
      <c r="I40" s="78">
        <f>I7+I28-I39</f>
        <v>89223114</v>
      </c>
      <c r="J40" s="16">
        <f>J7+J28-J39</f>
        <v>131462819</v>
      </c>
      <c r="K40" s="17">
        <f>K7+K28-K39</f>
        <v>140632016</v>
      </c>
      <c r="L40" s="41"/>
      <c r="M40" s="41"/>
      <c r="N40" s="41"/>
      <c r="O40" s="44"/>
      <c r="T40" s="3" t="s">
        <v>98</v>
      </c>
    </row>
    <row r="41" spans="1:29" x14ac:dyDescent="0.25">
      <c r="A41" s="2" t="s">
        <v>39</v>
      </c>
      <c r="B41" s="3"/>
      <c r="C41" s="24"/>
      <c r="D41" s="5"/>
      <c r="E41" s="5"/>
      <c r="F41" s="24"/>
      <c r="G41" s="12"/>
      <c r="H41" s="5"/>
      <c r="I41" s="24"/>
      <c r="J41" s="5"/>
      <c r="K41" s="5"/>
      <c r="L41" s="41"/>
      <c r="M41" s="41"/>
      <c r="N41" s="41"/>
      <c r="O41" s="36"/>
    </row>
    <row r="42" spans="1:29" ht="16.5" thickBot="1" x14ac:dyDescent="0.3">
      <c r="B42" s="8" t="s">
        <v>14</v>
      </c>
      <c r="C42" s="38">
        <f>+C7+C28-C39</f>
        <v>28360420</v>
      </c>
      <c r="D42" s="39">
        <f>+D7+D28-D39</f>
        <v>38632023</v>
      </c>
      <c r="E42" s="38">
        <f t="shared" ref="E42:N42" si="10">+E7+E28-E39</f>
        <v>48264537.370000005</v>
      </c>
      <c r="F42" s="38">
        <f>+F7+F28-F39</f>
        <v>56891032</v>
      </c>
      <c r="G42" s="38">
        <f t="shared" si="10"/>
        <v>65315592</v>
      </c>
      <c r="H42" s="38">
        <f t="shared" si="10"/>
        <v>80421773</v>
      </c>
      <c r="I42" s="38">
        <f>+I7+I28-I39</f>
        <v>89223114</v>
      </c>
      <c r="J42" s="38">
        <f t="shared" si="10"/>
        <v>131462819</v>
      </c>
      <c r="K42" s="38">
        <f>+K7+K28-K39</f>
        <v>140632016</v>
      </c>
      <c r="L42" s="38">
        <f t="shared" si="10"/>
        <v>92025003</v>
      </c>
      <c r="M42" s="38">
        <f t="shared" si="10"/>
        <v>106596890</v>
      </c>
      <c r="N42" s="38">
        <f t="shared" si="10"/>
        <v>17920942</v>
      </c>
      <c r="O42" s="39">
        <f>+O7+O28-O39</f>
        <v>17920942.370000005</v>
      </c>
      <c r="R42" s="67" t="s">
        <v>84</v>
      </c>
      <c r="S42" s="73">
        <f>SUM(S10:S41)</f>
        <v>14052429.119999999</v>
      </c>
      <c r="W42" s="82">
        <f>SUM(W10:W41)</f>
        <v>14073769.67</v>
      </c>
      <c r="X42" s="75">
        <f>SUM(X10:X41)</f>
        <v>0</v>
      </c>
      <c r="Y42" s="73">
        <f>SUM(Y10:Y41)</f>
        <v>0</v>
      </c>
      <c r="Z42" s="73"/>
      <c r="AA42" s="73">
        <f t="shared" ref="AA42:AB42" si="11">SUM(AA10:AA41)</f>
        <v>0</v>
      </c>
      <c r="AB42" s="73">
        <f t="shared" si="11"/>
        <v>0</v>
      </c>
      <c r="AC42" s="63"/>
    </row>
    <row r="43" spans="1:29" ht="16.5" thickTop="1" x14ac:dyDescent="0.25">
      <c r="A43" s="2" t="s">
        <v>40</v>
      </c>
      <c r="B43" s="3"/>
      <c r="C43" s="41">
        <f t="shared" ref="C43:M43" si="12">SUM(C42:C42)</f>
        <v>28360420</v>
      </c>
      <c r="D43" s="36">
        <f t="shared" si="12"/>
        <v>38632023</v>
      </c>
      <c r="E43" s="36">
        <f t="shared" si="12"/>
        <v>48264537.370000005</v>
      </c>
      <c r="F43" s="41">
        <f t="shared" si="12"/>
        <v>56891032</v>
      </c>
      <c r="G43" s="36">
        <f t="shared" si="12"/>
        <v>65315592</v>
      </c>
      <c r="H43" s="36">
        <f t="shared" si="12"/>
        <v>80421773</v>
      </c>
      <c r="I43" s="41">
        <f>SUM(I42:I42)</f>
        <v>89223114</v>
      </c>
      <c r="J43" s="36">
        <f t="shared" si="12"/>
        <v>131462819</v>
      </c>
      <c r="K43" s="36">
        <f t="shared" si="12"/>
        <v>140632016</v>
      </c>
      <c r="L43" s="41">
        <f>SUM(L42:L42)</f>
        <v>92025003</v>
      </c>
      <c r="M43" s="41">
        <f t="shared" si="12"/>
        <v>106596890</v>
      </c>
      <c r="N43" s="41">
        <f>SUM(N42:N42)</f>
        <v>17920942</v>
      </c>
      <c r="O43" s="36">
        <f>SUM(O42:O42)</f>
        <v>17920942.370000005</v>
      </c>
    </row>
    <row r="44" spans="1:29" hidden="1" x14ac:dyDescent="0.25">
      <c r="B44" s="8" t="s">
        <v>41</v>
      </c>
      <c r="C44" s="38">
        <f>-2072268+C30+C33</f>
        <v>-2072268</v>
      </c>
      <c r="D44" s="38">
        <f>C44+D30+D33</f>
        <v>-2072268</v>
      </c>
      <c r="E44" s="38">
        <f>D44+E30+E33</f>
        <v>-2072268</v>
      </c>
      <c r="F44" s="38">
        <f>E44+F30+F33</f>
        <v>-2072268</v>
      </c>
      <c r="G44" s="38">
        <f t="shared" ref="G44" si="13">F44+G30+G33</f>
        <v>-2072268</v>
      </c>
      <c r="H44" s="38">
        <f t="shared" ref="H44:N44" si="14">G44+H30+H33</f>
        <v>-2072268</v>
      </c>
      <c r="I44" s="38">
        <f t="shared" si="14"/>
        <v>-1363117</v>
      </c>
      <c r="J44" s="38">
        <f t="shared" si="14"/>
        <v>-1363117</v>
      </c>
      <c r="K44" s="38">
        <f t="shared" si="14"/>
        <v>-1363117</v>
      </c>
      <c r="L44" s="38">
        <f t="shared" si="14"/>
        <v>-1363117</v>
      </c>
      <c r="M44" s="38">
        <f t="shared" si="14"/>
        <v>-1363117</v>
      </c>
      <c r="N44" s="38">
        <f t="shared" si="14"/>
        <v>-1363117</v>
      </c>
      <c r="O44" s="38">
        <f>IF(N44&lt;0,N44,IF(M44&lt;0,M44,IF(L44&lt;0,L44,IF(K44&lt;0,K44,IF(J44&lt;0,J44,IF(I44&lt;0,I44,IF(H44&lt;0,H44,IF(F44&lt;0,F44,IF(E44&lt;0,E44,IF(D44&lt;0,D44,IF(C44&lt;0,C44,0)))))))))))</f>
        <v>-1363117</v>
      </c>
    </row>
    <row r="45" spans="1:29" ht="16.5" hidden="1" thickBot="1" x14ac:dyDescent="0.3">
      <c r="A45" s="2" t="s">
        <v>42</v>
      </c>
      <c r="B45" s="3"/>
      <c r="C45" s="27">
        <f t="shared" ref="C45:G45" si="15">SUM(C43:C44)</f>
        <v>26288152</v>
      </c>
      <c r="D45" s="27">
        <f>SUM(D43:D44)</f>
        <v>36559755</v>
      </c>
      <c r="E45" s="27">
        <f t="shared" si="15"/>
        <v>46192269.370000005</v>
      </c>
      <c r="F45" s="27">
        <f t="shared" si="15"/>
        <v>54818764</v>
      </c>
      <c r="G45" s="27">
        <f t="shared" si="15"/>
        <v>63243324</v>
      </c>
      <c r="H45" s="27">
        <f t="shared" ref="H45:O45" si="16">SUM(H43:H44)</f>
        <v>78349505</v>
      </c>
      <c r="I45" s="27">
        <f t="shared" si="16"/>
        <v>87859997</v>
      </c>
      <c r="J45" s="27">
        <f t="shared" si="16"/>
        <v>130099702</v>
      </c>
      <c r="K45" s="27">
        <f t="shared" si="16"/>
        <v>139268899</v>
      </c>
      <c r="L45" s="27">
        <f t="shared" si="16"/>
        <v>90661886</v>
      </c>
      <c r="M45" s="27">
        <f t="shared" si="16"/>
        <v>105233773</v>
      </c>
      <c r="N45" s="27">
        <f t="shared" si="16"/>
        <v>16557825</v>
      </c>
      <c r="O45" s="27">
        <f t="shared" si="16"/>
        <v>16557825.370000005</v>
      </c>
    </row>
    <row r="46" spans="1:29" hidden="1" x14ac:dyDescent="0.25">
      <c r="A46" s="2"/>
      <c r="B46" s="3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29" hidden="1" x14ac:dyDescent="0.25">
      <c r="A47" s="8"/>
      <c r="B47" s="3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Y47" s="69"/>
      <c r="AB47" s="71"/>
    </row>
    <row r="48" spans="1:29" s="59" customFormat="1" hidden="1" x14ac:dyDescent="0.25">
      <c r="A48" s="55" t="s">
        <v>60</v>
      </c>
      <c r="B48" s="53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Q48" s="65"/>
      <c r="R48" s="53"/>
      <c r="S48" s="66"/>
      <c r="T48" s="53"/>
      <c r="W48" s="71"/>
      <c r="X48" s="71"/>
      <c r="Y48" s="80"/>
      <c r="Z48" s="71"/>
      <c r="AA48" s="71"/>
      <c r="AB48" s="69"/>
    </row>
    <row r="49" spans="1:25" hidden="1" x14ac:dyDescent="0.25">
      <c r="B49" s="54"/>
      <c r="C49" s="25"/>
      <c r="D49" s="10"/>
      <c r="E49" s="10"/>
      <c r="F49" s="60"/>
      <c r="G49" s="10"/>
      <c r="H49" s="10"/>
      <c r="I49" s="49"/>
      <c r="J49" s="10"/>
      <c r="K49" s="10"/>
      <c r="L49" s="10"/>
      <c r="M49" s="10"/>
      <c r="N49" s="10"/>
      <c r="O49" s="10"/>
      <c r="Y49" s="81"/>
    </row>
    <row r="50" spans="1:25" hidden="1" x14ac:dyDescent="0.25">
      <c r="A50" s="2" t="s">
        <v>0</v>
      </c>
      <c r="B50" s="3"/>
      <c r="C50" s="31"/>
      <c r="D50" s="3"/>
      <c r="E50" s="3"/>
      <c r="F50" s="57"/>
      <c r="G50" s="12"/>
      <c r="H50" s="3"/>
      <c r="I50" s="3"/>
      <c r="J50" s="13"/>
      <c r="K50" s="3"/>
      <c r="L50" s="3"/>
      <c r="M50" s="3"/>
      <c r="N50" s="3"/>
      <c r="O50" s="3"/>
      <c r="Y50" s="81"/>
    </row>
    <row r="51" spans="1:25" hidden="1" x14ac:dyDescent="0.25">
      <c r="A51" s="8" t="s">
        <v>101</v>
      </c>
      <c r="B51" s="3"/>
      <c r="C51" s="33"/>
      <c r="D51" s="3"/>
      <c r="E51" s="3"/>
      <c r="F51" s="31"/>
      <c r="G51" s="12"/>
      <c r="H51" s="3"/>
      <c r="I51" s="3"/>
      <c r="J51" s="3"/>
      <c r="K51" s="3"/>
      <c r="L51" s="3"/>
      <c r="M51" s="3"/>
      <c r="N51" s="3"/>
      <c r="O51" s="3"/>
      <c r="Y51" s="81"/>
    </row>
    <row r="52" spans="1:25" hidden="1" x14ac:dyDescent="0.25">
      <c r="A52" s="3"/>
      <c r="B52" s="3"/>
      <c r="C52" s="32" t="s">
        <v>1</v>
      </c>
      <c r="D52" s="4" t="s">
        <v>2</v>
      </c>
      <c r="E52" s="7" t="s">
        <v>3</v>
      </c>
      <c r="F52" s="32" t="s">
        <v>4</v>
      </c>
      <c r="G52" s="14" t="s">
        <v>5</v>
      </c>
      <c r="H52" s="4" t="s">
        <v>6</v>
      </c>
      <c r="I52" s="7" t="s">
        <v>7</v>
      </c>
      <c r="J52" s="7" t="s">
        <v>8</v>
      </c>
      <c r="K52" s="4" t="s">
        <v>9</v>
      </c>
      <c r="L52" s="7" t="s">
        <v>10</v>
      </c>
      <c r="M52" s="7" t="s">
        <v>11</v>
      </c>
      <c r="N52" s="4" t="s">
        <v>62</v>
      </c>
      <c r="O52" s="4"/>
    </row>
    <row r="53" spans="1:25" hidden="1" x14ac:dyDescent="0.25">
      <c r="A53" s="8" t="s">
        <v>43</v>
      </c>
      <c r="B53" s="3"/>
      <c r="C53" s="24"/>
      <c r="D53" s="5"/>
      <c r="E53" s="5"/>
      <c r="F53" s="24"/>
      <c r="G53" s="12"/>
      <c r="H53" s="5"/>
      <c r="I53" s="5"/>
      <c r="J53" s="5"/>
      <c r="K53" s="5"/>
      <c r="L53" s="5"/>
      <c r="M53" s="5"/>
      <c r="N53" s="5"/>
      <c r="O53" s="5"/>
    </row>
    <row r="54" spans="1:25" hidden="1" x14ac:dyDescent="0.25">
      <c r="B54" s="8" t="s">
        <v>44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f>+M58</f>
        <v>0</v>
      </c>
      <c r="O54" s="26"/>
      <c r="Y54" s="69"/>
    </row>
    <row r="55" spans="1:25" hidden="1" x14ac:dyDescent="0.25">
      <c r="B55" s="8" t="s">
        <v>35</v>
      </c>
      <c r="C55" s="36">
        <f>+C33</f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f>+N33</f>
        <v>0</v>
      </c>
      <c r="O55" s="9"/>
      <c r="Y55" s="69"/>
    </row>
    <row r="56" spans="1:25" hidden="1" x14ac:dyDescent="0.25">
      <c r="B56" s="2" t="s">
        <v>58</v>
      </c>
      <c r="C56" s="41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9"/>
      <c r="Y56" s="69"/>
    </row>
    <row r="57" spans="1:25" hidden="1" x14ac:dyDescent="0.25">
      <c r="B57" s="8" t="s">
        <v>57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9"/>
      <c r="Y57" s="69"/>
    </row>
    <row r="58" spans="1:25" ht="16.5" hidden="1" thickBot="1" x14ac:dyDescent="0.3">
      <c r="B58" s="8" t="s">
        <v>45</v>
      </c>
      <c r="C58" s="27">
        <f t="shared" ref="C58:N58" si="17">SUM(C54:C57)</f>
        <v>0</v>
      </c>
      <c r="D58" s="27">
        <f t="shared" si="17"/>
        <v>0</v>
      </c>
      <c r="E58" s="27">
        <f t="shared" si="17"/>
        <v>0</v>
      </c>
      <c r="F58" s="27">
        <f t="shared" si="17"/>
        <v>0</v>
      </c>
      <c r="G58" s="27">
        <f t="shared" si="17"/>
        <v>0</v>
      </c>
      <c r="H58" s="27">
        <f t="shared" si="17"/>
        <v>0</v>
      </c>
      <c r="I58" s="27">
        <f>SUM(I54:I57)</f>
        <v>0</v>
      </c>
      <c r="J58" s="27">
        <f t="shared" si="17"/>
        <v>0</v>
      </c>
      <c r="K58" s="27">
        <f t="shared" si="17"/>
        <v>0</v>
      </c>
      <c r="L58" s="27">
        <f t="shared" si="17"/>
        <v>0</v>
      </c>
      <c r="M58" s="27">
        <f t="shared" si="17"/>
        <v>0</v>
      </c>
      <c r="N58" s="27">
        <f t="shared" si="17"/>
        <v>0</v>
      </c>
      <c r="O58" s="29"/>
    </row>
    <row r="59" spans="1:25" ht="16.5" hidden="1" thickTop="1" x14ac:dyDescent="0.25">
      <c r="B59" s="8"/>
      <c r="C59" s="25"/>
      <c r="D59" s="10"/>
      <c r="E59" s="10"/>
      <c r="F59" s="25"/>
      <c r="G59" s="10"/>
      <c r="H59" s="76"/>
      <c r="I59" s="23"/>
      <c r="J59" s="23"/>
      <c r="K59" s="23"/>
      <c r="L59" s="23"/>
      <c r="M59" s="23"/>
      <c r="N59" s="23"/>
      <c r="O59" s="10"/>
      <c r="Y59" s="72"/>
    </row>
    <row r="60" spans="1:25" hidden="1" x14ac:dyDescent="0.25">
      <c r="A60" s="8" t="s">
        <v>59</v>
      </c>
      <c r="B60" s="3"/>
      <c r="C60" s="24"/>
      <c r="D60" s="5"/>
      <c r="E60" s="5"/>
      <c r="F60" s="24"/>
      <c r="G60" s="12"/>
      <c r="I60" s="13"/>
      <c r="J60" s="5"/>
      <c r="K60" s="5"/>
      <c r="L60" s="5"/>
      <c r="M60" s="5"/>
      <c r="N60" s="5"/>
      <c r="O60" s="9"/>
    </row>
    <row r="61" spans="1:25" hidden="1" x14ac:dyDescent="0.25">
      <c r="A61" s="3"/>
      <c r="B61" s="8" t="s">
        <v>52</v>
      </c>
      <c r="C61" s="26">
        <v>184903733</v>
      </c>
      <c r="D61" s="26">
        <v>182041261</v>
      </c>
      <c r="E61" s="26">
        <v>180033892</v>
      </c>
      <c r="F61" s="26">
        <v>178719235</v>
      </c>
      <c r="G61" s="26">
        <v>177383046</v>
      </c>
      <c r="H61" s="26">
        <f>171365463-2763442</f>
        <v>168602021</v>
      </c>
      <c r="I61" s="26">
        <v>166732994</v>
      </c>
      <c r="J61" s="26">
        <v>166052020</v>
      </c>
      <c r="K61" s="26">
        <v>164553302</v>
      </c>
      <c r="L61" s="26">
        <v>163338078</v>
      </c>
      <c r="M61" s="26">
        <v>154824697</v>
      </c>
      <c r="N61" s="79">
        <v>153891596</v>
      </c>
      <c r="O61" s="9"/>
    </row>
    <row r="62" spans="1:25" hidden="1" x14ac:dyDescent="0.25">
      <c r="A62" s="3"/>
      <c r="B62" s="8" t="s">
        <v>53</v>
      </c>
      <c r="C62" s="6">
        <v>5625000</v>
      </c>
      <c r="D62" s="41">
        <v>5625000</v>
      </c>
      <c r="E62" s="41">
        <v>5625000</v>
      </c>
      <c r="F62" s="41">
        <v>5625000</v>
      </c>
      <c r="G62" s="41">
        <v>5625000</v>
      </c>
      <c r="H62" s="41">
        <v>5625000</v>
      </c>
      <c r="I62" s="41">
        <v>5250000</v>
      </c>
      <c r="J62" s="41">
        <v>5250000</v>
      </c>
      <c r="K62" s="41">
        <v>5000000</v>
      </c>
      <c r="L62" s="41">
        <v>5000000</v>
      </c>
      <c r="M62" s="41">
        <v>5000000</v>
      </c>
      <c r="N62" s="41">
        <v>5000000</v>
      </c>
      <c r="O62" s="9"/>
    </row>
    <row r="63" spans="1:25" ht="16.5" hidden="1" thickBot="1" x14ac:dyDescent="0.3">
      <c r="A63" s="3"/>
      <c r="B63" s="8" t="s">
        <v>54</v>
      </c>
      <c r="C63" s="62">
        <f>SUM(C59:C62)</f>
        <v>190528733</v>
      </c>
      <c r="D63" s="27">
        <f t="shared" ref="D63:L63" si="18">SUM(D59:D62)</f>
        <v>187666261</v>
      </c>
      <c r="E63" s="27">
        <f t="shared" si="18"/>
        <v>185658892</v>
      </c>
      <c r="F63" s="27">
        <f t="shared" si="18"/>
        <v>184344235</v>
      </c>
      <c r="G63" s="27">
        <f t="shared" si="18"/>
        <v>183008046</v>
      </c>
      <c r="H63" s="27">
        <f t="shared" si="18"/>
        <v>174227021</v>
      </c>
      <c r="I63" s="27">
        <f t="shared" si="18"/>
        <v>171982994</v>
      </c>
      <c r="J63" s="27">
        <f t="shared" si="18"/>
        <v>171302020</v>
      </c>
      <c r="K63" s="27">
        <f t="shared" si="18"/>
        <v>169553302</v>
      </c>
      <c r="L63" s="27">
        <f t="shared" si="18"/>
        <v>168338078</v>
      </c>
      <c r="M63" s="27">
        <f>SUM(M59:M62)</f>
        <v>159824697</v>
      </c>
      <c r="N63" s="27">
        <f>SUM(N59:N62)</f>
        <v>158891596</v>
      </c>
      <c r="O63" s="9"/>
    </row>
    <row r="64" spans="1:25" ht="16.5" hidden="1" thickTop="1" x14ac:dyDescent="0.25">
      <c r="A64" s="3"/>
      <c r="B64" s="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9"/>
    </row>
    <row r="65" spans="1:15" hidden="1" x14ac:dyDescent="0.25">
      <c r="A65" s="55" t="s">
        <v>56</v>
      </c>
      <c r="B65" s="53"/>
      <c r="C65" s="24"/>
      <c r="D65" s="5"/>
      <c r="E65" s="5"/>
      <c r="F65" s="24"/>
      <c r="G65" s="12"/>
      <c r="I65" s="13"/>
      <c r="J65" s="5"/>
      <c r="K65" s="5"/>
      <c r="L65" s="5"/>
      <c r="M65" s="5"/>
      <c r="N65" s="5"/>
      <c r="O65" s="9"/>
    </row>
    <row r="66" spans="1:15" hidden="1" x14ac:dyDescent="0.25">
      <c r="B66" s="45" t="s">
        <v>55</v>
      </c>
      <c r="C66" s="74">
        <f>ROUNDDOWN(+C61+C17+C62+C57-188577985-5625000,0)</f>
        <v>0</v>
      </c>
      <c r="D66" s="46">
        <f>+D61-C61+D17+D62-C62+D57</f>
        <v>0</v>
      </c>
      <c r="E66" s="46">
        <f>+E61-D61+E17+E62-D62+E57</f>
        <v>0</v>
      </c>
      <c r="F66" s="46">
        <f t="shared" ref="F66" si="19">+F61-E61+F17+F62-E62+F57</f>
        <v>0</v>
      </c>
      <c r="G66" s="46">
        <f>+G61-F61+G17+G62-F62+G57</f>
        <v>0</v>
      </c>
      <c r="H66" s="46">
        <f>+H61-G61+H17+H62-G62+H57</f>
        <v>0</v>
      </c>
      <c r="I66" s="46">
        <f t="shared" ref="I66:J66" si="20">+I61-H61+I17+I62-H62+I57</f>
        <v>0</v>
      </c>
      <c r="J66" s="46">
        <f t="shared" si="20"/>
        <v>0</v>
      </c>
      <c r="K66" s="46">
        <f>+K61-J61+K17+K62-J62+K57</f>
        <v>0</v>
      </c>
      <c r="L66" s="46">
        <f>+L61-K61+L17+L62-K62+L57</f>
        <v>0</v>
      </c>
      <c r="M66" s="46">
        <f>+M61-L61+M17+M62-L62+M57</f>
        <v>0</v>
      </c>
      <c r="N66" s="46">
        <f>+N61-M61+N17+N62-M62+N57</f>
        <v>0</v>
      </c>
      <c r="O66" s="1"/>
    </row>
    <row r="67" spans="1:15" hidden="1" x14ac:dyDescent="0.25">
      <c r="A67" s="2"/>
      <c r="C67" s="9"/>
      <c r="D67" s="1"/>
      <c r="E67" s="1"/>
      <c r="F67" s="56"/>
      <c r="H67" s="1"/>
      <c r="I67" s="1"/>
      <c r="J67" s="50"/>
      <c r="K67" s="50"/>
      <c r="L67" s="50"/>
      <c r="M67" s="1"/>
      <c r="N67" s="50"/>
      <c r="O67" s="1"/>
    </row>
    <row r="68" spans="1:15" hidden="1" x14ac:dyDescent="0.25">
      <c r="C68" s="9"/>
      <c r="D68" s="1"/>
      <c r="E68" s="1"/>
      <c r="F68" s="56"/>
      <c r="H68" s="1"/>
      <c r="I68" s="1"/>
      <c r="J68" s="56"/>
      <c r="K68" s="1"/>
      <c r="L68" s="1"/>
      <c r="M68" s="1"/>
      <c r="N68" s="36"/>
      <c r="O68" s="1"/>
    </row>
    <row r="69" spans="1:15" x14ac:dyDescent="0.25">
      <c r="C69" s="9"/>
      <c r="D69" s="1"/>
      <c r="E69" s="1"/>
      <c r="F69" s="56"/>
      <c r="H69" s="1"/>
      <c r="I69" s="1"/>
      <c r="J69" s="1"/>
      <c r="K69" s="1"/>
      <c r="L69" s="1"/>
      <c r="M69" s="1"/>
      <c r="N69" s="36"/>
      <c r="O69" s="1"/>
    </row>
    <row r="70" spans="1:15" x14ac:dyDescent="0.25">
      <c r="C70" s="9"/>
      <c r="D70" s="1"/>
      <c r="E70" s="1"/>
      <c r="F70" s="56"/>
      <c r="H70" s="1"/>
      <c r="I70" s="1"/>
      <c r="J70" s="1"/>
      <c r="K70" s="1"/>
      <c r="L70" s="1"/>
      <c r="M70" s="1"/>
      <c r="N70" s="36"/>
      <c r="O70" s="1"/>
    </row>
    <row r="71" spans="1:15" x14ac:dyDescent="0.25">
      <c r="C71" s="9"/>
      <c r="D71" s="1"/>
      <c r="E71" s="1"/>
      <c r="F71" s="56"/>
      <c r="H71" s="1"/>
      <c r="I71" s="1"/>
      <c r="J71" s="1"/>
      <c r="K71" s="1"/>
      <c r="L71" s="1"/>
      <c r="M71" s="1"/>
      <c r="N71" s="36"/>
      <c r="O71" s="1"/>
    </row>
    <row r="72" spans="1:15" x14ac:dyDescent="0.25">
      <c r="C72" s="9"/>
    </row>
    <row r="73" spans="1:15" x14ac:dyDescent="0.25">
      <c r="C73" s="9"/>
    </row>
    <row r="74" spans="1:15" x14ac:dyDescent="0.25">
      <c r="C74" s="9"/>
    </row>
  </sheetData>
  <sheetProtection password="BE8E" sheet="1" objects="1" scenarios="1"/>
  <phoneticPr fontId="3" type="noConversion"/>
  <printOptions horizontalCentered="1" gridLinesSet="0"/>
  <pageMargins left="0" right="0" top="0.75" bottom="0.43" header="0" footer="0.17"/>
  <pageSetup scale="70" fitToWidth="0" fitToHeight="0" orientation="landscape" r:id="rId1"/>
  <headerFooter alignWithMargins="0">
    <oddFooter>&amp;R&amp;"CG Times,Regular"&amp;8&amp;D 
 &amp;F</oddFooter>
  </headerFooter>
  <rowBreaks count="1" manualBreakCount="1">
    <brk id="4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lit 2014</vt:lpstr>
      <vt:lpstr>'lit 2014'!Print_Area</vt:lpstr>
      <vt:lpstr>Print_Area_MI</vt:lpstr>
      <vt:lpstr>'lit 2014'!Print_Titles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 ACCOUNTING, OPERATIONS DI</dc:creator>
  <cp:lastModifiedBy>Chris Sorensen</cp:lastModifiedBy>
  <cp:lastPrinted>2015-04-14T17:09:12Z</cp:lastPrinted>
  <dcterms:created xsi:type="dcterms:W3CDTF">1997-08-15T18:05:00Z</dcterms:created>
  <dcterms:modified xsi:type="dcterms:W3CDTF">2015-04-14T17:09:19Z</dcterms:modified>
</cp:coreProperties>
</file>