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240" yWindow="-135" windowWidth="16860" windowHeight="11235"/>
  </bookViews>
  <sheets>
    <sheet name="lit 2015" sheetId="1" r:id="rId1"/>
  </sheets>
  <definedNames>
    <definedName name="_xlnm.Print_Area" localSheetId="0">'lit 2015'!$A$1:$O$68</definedName>
    <definedName name="Print_Area_MI">'lit 2015'!$A$1:$O$67</definedName>
    <definedName name="_xlnm.Print_Titles" localSheetId="0">'lit 2015'!$A:$B</definedName>
  </definedNames>
  <calcPr calcId="145621"/>
</workbook>
</file>

<file path=xl/calcChain.xml><?xml version="1.0" encoding="utf-8"?>
<calcChain xmlns="http://schemas.openxmlformats.org/spreadsheetml/2006/main">
  <c r="M46" i="1" l="1"/>
  <c r="N46" i="1" s="1"/>
  <c r="O46" i="1" s="1"/>
  <c r="O17" i="1"/>
  <c r="N68" i="1"/>
  <c r="N26" i="1"/>
  <c r="N22" i="1"/>
  <c r="O6" i="1" l="1"/>
  <c r="N16" i="1" l="1"/>
  <c r="M29" i="1" l="1"/>
  <c r="M28" i="1"/>
  <c r="M68" i="1"/>
  <c r="L22" i="1" l="1"/>
  <c r="L28" i="1" s="1"/>
  <c r="L16" i="1"/>
  <c r="L68" i="1"/>
  <c r="K11" i="1" l="1"/>
  <c r="K18" i="1"/>
  <c r="K68" i="1" s="1"/>
  <c r="K16" i="1"/>
  <c r="K29" i="1" l="1"/>
  <c r="J29" i="1"/>
  <c r="K28" i="1"/>
  <c r="J68" i="1"/>
  <c r="I22" i="1" l="1"/>
  <c r="I18" i="1"/>
  <c r="I11" i="1"/>
  <c r="I29" i="1" l="1"/>
  <c r="I68" i="1"/>
  <c r="H68" i="1" l="1"/>
  <c r="G68" i="1"/>
  <c r="H65" i="1"/>
  <c r="F68" i="1"/>
  <c r="G29" i="1"/>
  <c r="F40" i="1"/>
  <c r="G40" i="1"/>
  <c r="G28" i="1"/>
  <c r="E68" i="1" l="1"/>
  <c r="C68" i="1" l="1"/>
  <c r="N65" i="1" l="1"/>
  <c r="M65" i="1"/>
  <c r="L65" i="1"/>
  <c r="K65" i="1"/>
  <c r="J65" i="1"/>
  <c r="I65" i="1"/>
  <c r="G65" i="1"/>
  <c r="F65" i="1"/>
  <c r="E65" i="1"/>
  <c r="D65" i="1"/>
  <c r="C65" i="1" l="1"/>
  <c r="M60" i="1"/>
  <c r="L60" i="1"/>
  <c r="K60" i="1"/>
  <c r="J60" i="1"/>
  <c r="I60" i="1"/>
  <c r="H60" i="1"/>
  <c r="G60" i="1"/>
  <c r="F60" i="1"/>
  <c r="E60" i="1"/>
  <c r="D60" i="1"/>
  <c r="N57" i="1"/>
  <c r="C57" i="1"/>
  <c r="N56" i="1" l="1"/>
  <c r="N60" i="1" s="1"/>
  <c r="C60" i="1"/>
  <c r="C45" i="1" l="1"/>
  <c r="D45" i="1" s="1"/>
  <c r="E45" i="1" s="1"/>
  <c r="F45" i="1" s="1"/>
  <c r="G45" i="1" l="1"/>
  <c r="H45" i="1" l="1"/>
  <c r="I45" i="1" s="1"/>
  <c r="J45" i="1" l="1"/>
  <c r="K45" i="1" s="1"/>
  <c r="L45" i="1" s="1"/>
  <c r="M45" i="1" s="1"/>
  <c r="N45" i="1" s="1"/>
  <c r="O45" i="1" s="1"/>
  <c r="N40" i="1"/>
  <c r="M40" i="1"/>
  <c r="L40" i="1"/>
  <c r="K40" i="1"/>
  <c r="J40" i="1"/>
  <c r="I40" i="1"/>
  <c r="H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O37" i="1"/>
  <c r="O36" i="1"/>
  <c r="O35" i="1"/>
  <c r="O34" i="1"/>
  <c r="O33" i="1"/>
  <c r="O32" i="1"/>
  <c r="O31" i="1"/>
  <c r="O40" i="1" l="1"/>
  <c r="O39" i="1"/>
  <c r="N29" i="1"/>
  <c r="L29" i="1"/>
  <c r="H29" i="1"/>
  <c r="C29" i="1"/>
  <c r="N28" i="1"/>
  <c r="J28" i="1"/>
  <c r="I28" i="1"/>
  <c r="H28" i="1" l="1"/>
  <c r="E28" i="1"/>
  <c r="D28" i="1"/>
  <c r="C28" i="1"/>
  <c r="O27" i="1"/>
  <c r="O26" i="1"/>
  <c r="O25" i="1" l="1"/>
  <c r="O24" i="1" l="1"/>
  <c r="O23" i="1"/>
  <c r="F22" i="1" l="1"/>
  <c r="O22" i="1" s="1"/>
  <c r="O21" i="1"/>
  <c r="O19" i="1"/>
  <c r="O28" i="1" l="1"/>
  <c r="F28" i="1"/>
  <c r="F29" i="1"/>
  <c r="D18" i="1"/>
  <c r="E16" i="1"/>
  <c r="E29" i="1" s="1"/>
  <c r="O15" i="1"/>
  <c r="O14" i="1"/>
  <c r="O13" i="1"/>
  <c r="O12" i="1"/>
  <c r="D11" i="1"/>
  <c r="O11" i="1" s="1"/>
  <c r="O10" i="1"/>
  <c r="N7" i="1"/>
  <c r="N43" i="1" s="1"/>
  <c r="N44" i="1" s="1"/>
  <c r="N47" i="1" s="1"/>
  <c r="M7" i="1"/>
  <c r="M43" i="1" s="1"/>
  <c r="M44" i="1" s="1"/>
  <c r="M47" i="1" s="1"/>
  <c r="L7" i="1"/>
  <c r="L43" i="1" s="1"/>
  <c r="K7" i="1"/>
  <c r="J7" i="1"/>
  <c r="J43" i="1" s="1"/>
  <c r="I7" i="1"/>
  <c r="I43" i="1" s="1"/>
  <c r="H7" i="1"/>
  <c r="D68" i="1" l="1"/>
  <c r="O18" i="1"/>
  <c r="O16" i="1"/>
  <c r="D29" i="1"/>
  <c r="K41" i="1"/>
  <c r="K43" i="1"/>
  <c r="J41" i="1"/>
  <c r="I41" i="1"/>
  <c r="H43" i="1"/>
  <c r="H41" i="1"/>
  <c r="G7" i="1"/>
  <c r="G43" i="1" s="1"/>
  <c r="G44" i="1" s="1"/>
  <c r="G47" i="1" s="1"/>
  <c r="C7" i="1"/>
  <c r="O29" i="1" l="1"/>
  <c r="L44" i="1"/>
  <c r="L47" i="1" s="1"/>
  <c r="K44" i="1"/>
  <c r="K47" i="1" s="1"/>
  <c r="J44" i="1"/>
  <c r="J47" i="1" s="1"/>
  <c r="H44" i="1"/>
  <c r="H47" i="1" s="1"/>
  <c r="I44" i="1" l="1"/>
  <c r="I47" i="1" s="1"/>
  <c r="C43" i="1" l="1"/>
  <c r="C44" i="1" s="1"/>
  <c r="C47" i="1" s="1"/>
  <c r="D6" i="1" l="1"/>
  <c r="D7" i="1" l="1"/>
  <c r="D43" i="1" s="1"/>
  <c r="D44" i="1" s="1"/>
  <c r="D47" i="1" s="1"/>
  <c r="O7" i="1"/>
  <c r="O43" i="1" l="1"/>
  <c r="O44" i="1" s="1"/>
  <c r="O47" i="1" s="1"/>
  <c r="E6" i="1"/>
  <c r="E7" i="1" s="1"/>
  <c r="E43" i="1" s="1"/>
  <c r="E44" i="1" s="1"/>
  <c r="E47" i="1" s="1"/>
  <c r="F6" i="1" l="1"/>
  <c r="F7" i="1" s="1"/>
  <c r="F43" i="1" s="1"/>
  <c r="F44" i="1" s="1"/>
  <c r="F47" i="1" s="1"/>
</calcChain>
</file>

<file path=xl/comments1.xml><?xml version="1.0" encoding="utf-8"?>
<comments xmlns="http://schemas.openxmlformats.org/spreadsheetml/2006/main">
  <authors>
    <author>Tracey Edwards</author>
  </authors>
  <commentList>
    <comment ref="O11" authorId="0">
      <text>
        <r>
          <rPr>
            <b/>
            <sz val="8"/>
            <color indexed="81"/>
            <rFont val="Tahoma"/>
            <family val="2"/>
          </rPr>
          <t>Tracey Edwards:</t>
        </r>
        <r>
          <rPr>
            <sz val="8"/>
            <color indexed="81"/>
            <rFont val="Tahoma"/>
            <family val="2"/>
          </rPr>
          <t xml:space="preserve">
$1 adjustment made here to adress penny amounts used in some of these items.</t>
        </r>
      </text>
    </comment>
  </commentList>
</comments>
</file>

<file path=xl/sharedStrings.xml><?xml version="1.0" encoding="utf-8"?>
<sst xmlns="http://schemas.openxmlformats.org/spreadsheetml/2006/main" count="84" uniqueCount="67">
  <si>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</si>
  <si>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</si>
  <si>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</si>
  <si>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</si>
  <si>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</si>
  <si>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</si>
  <si>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</si>
  <si>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</si>
  <si>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</si>
  <si>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</si>
  <si>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</si>
  <si>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</si>
  <si>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</si>
  <si>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</si>
  <si>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</si>
  <si>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</si>
  <si>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</si>
  <si>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</si>
  <si>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</si>
  <si>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</si>
  <si>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</si>
  <si>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</si>
  <si>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</si>
  <si>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</si>
  <si>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</si>
  <si>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</si>
  <si>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</si>
  <si>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</si>
  <si>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</si>
  <si>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</si>
  <si>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</si>
  <si>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</si>
  <si>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</si>
  <si>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</si>
  <si>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</si>
  <si>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</si>
  <si>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</si>
  <si>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</si>
  <si>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</si>
  <si>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</si>
  <si>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</si>
  <si>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</si>
  <si>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</si>
  <si>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</si>
  <si>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</si>
  <si>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</si>
  <si>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</si>
  <si>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</si>
  <si>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</si>
  <si>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</si>
  <si>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</si>
  <si>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</si>
  <si>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</si>
  <si>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</si>
  <si>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</si>
  <si>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</si>
  <si>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</si>
  <si>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</si>
  <si>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</si>
  <si>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</si>
  <si>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MISCELLANEOUS REVENUE</t>
  </si>
  <si>
    <t>FISCAL YEAR 2015</t>
  </si>
  <si>
    <t xml:space="preserve">    DEFERRED REVENUE; FINES</t>
  </si>
  <si>
    <t>LESS DEFERRED REVENUE</t>
  </si>
  <si>
    <t>(a) Based on CARS preliminary close reports</t>
  </si>
  <si>
    <t xml:space="preserve">     JUNE </t>
  </si>
  <si>
    <t>SOURCE: Virginia Department of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</si>
</sst>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164" formatCode=";;;"/>
    <numFmt numFmtId="165" formatCode="_(* #,##0_);[Red]_(* \(#,##0\);_(* &quot;-&quot;_);_(@_)"/>
    <numFmt numFmtId="166" formatCode="_(* #,##0.00_);[Red]_(* \(#,##0.00\);_(* &quot;-&quot;_);_(@_)"/>
  </numFmts>
  <fonts count="8" x14ac:knownFonts="1">
    <font>
      <sz val="12"/>
      <name val="Times New Roman"/>
      <family val="1"/>
    </font>
    <font>
      <sz val="10"/>
      <name val="MS Sans Serif"/>
      <family val="2"/>
    </font>
    <font>
      <sz val="8"/>
      <name val="Times New Roman"/>
      <family val="1"/>
    </font>
    <font>
      <sz val="8"/>
      <name val="Times New Roman"/>
      <family val="1"/>
    </font>
    <font>
      <sz val="8"/>
      <color indexed="9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37" fontId="0" fillId="0" borderId="0" xfId="0" applyNumberFormat="1" applyProtection="1"/>
    <xf numFmtId="39" fontId="2" fillId="0" borderId="0" xfId="0" applyNumberFormat="1" applyFont="1" applyAlignment="1" applyProtection="1">
      <alignment horizontal="left"/>
    </xf>
    <xf numFmtId="0" fontId="2" fillId="0" borderId="0" xfId="0" applyFont="1"/>
    <xf numFmtId="39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9" fontId="2" fillId="0" borderId="0" xfId="0" quotePrefix="1" applyNumberFormat="1" applyFont="1" applyAlignment="1" applyProtection="1">
      <alignment horizontal="center"/>
    </xf>
    <xf numFmtId="39" fontId="2" fillId="0" borderId="0" xfId="0" quotePrefix="1" applyNumberFormat="1" applyFont="1" applyAlignment="1" applyProtection="1">
      <alignment horizontal="left"/>
    </xf>
    <xf numFmtId="37" fontId="2" fillId="0" borderId="0" xfId="0" applyNumberFormat="1" applyFont="1" applyBorder="1" applyProtection="1"/>
    <xf numFmtId="5" fontId="2" fillId="0" borderId="0" xfId="0" applyNumberFormat="1" applyFont="1" applyBorder="1" applyProtection="1"/>
    <xf numFmtId="0" fontId="2" fillId="0" borderId="0" xfId="0" applyFont="1" applyAlignment="1">
      <alignment horizontal="center"/>
    </xf>
    <xf numFmtId="3" fontId="2" fillId="0" borderId="0" xfId="0" applyNumberFormat="1" applyFont="1"/>
    <xf numFmtId="37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Protection="1">
      <protection hidden="1"/>
    </xf>
    <xf numFmtId="164" fontId="2" fillId="0" borderId="0" xfId="0" applyNumberFormat="1" applyFont="1" applyProtection="1">
      <protection locked="0" hidden="1"/>
    </xf>
    <xf numFmtId="164" fontId="2" fillId="0" borderId="0" xfId="0" applyNumberFormat="1" applyFont="1" applyProtection="1">
      <protection locked="0"/>
    </xf>
    <xf numFmtId="37" fontId="0" fillId="0" borderId="0" xfId="0" applyNumberFormat="1"/>
    <xf numFmtId="37" fontId="2" fillId="0" borderId="0" xfId="0" quotePrefix="1" applyNumberFormat="1" applyFont="1" applyAlignment="1" applyProtection="1">
      <alignment horizontal="left"/>
    </xf>
    <xf numFmtId="5" fontId="2" fillId="0" borderId="0" xfId="0" applyNumberFormat="1" applyFont="1" applyBorder="1"/>
    <xf numFmtId="37" fontId="2" fillId="0" borderId="0" xfId="0" applyNumberFormat="1" applyFont="1" applyFill="1" applyProtection="1"/>
    <xf numFmtId="5" fontId="2" fillId="0" borderId="0" xfId="0" applyNumberFormat="1" applyFont="1" applyFill="1" applyBorder="1" applyProtection="1"/>
    <xf numFmtId="42" fontId="2" fillId="0" borderId="0" xfId="0" applyNumberFormat="1" applyFont="1" applyFill="1" applyProtection="1"/>
    <xf numFmtId="42" fontId="2" fillId="0" borderId="2" xfId="0" applyNumberFormat="1" applyFont="1" applyFill="1" applyBorder="1" applyProtection="1"/>
    <xf numFmtId="42" fontId="2" fillId="0" borderId="1" xfId="0" applyNumberFormat="1" applyFont="1" applyFill="1" applyBorder="1" applyProtection="1"/>
    <xf numFmtId="42" fontId="2" fillId="0" borderId="0" xfId="0" applyNumberFormat="1" applyFont="1" applyFill="1" applyBorder="1" applyProtection="1"/>
    <xf numFmtId="0" fontId="0" fillId="0" borderId="0" xfId="0" applyFill="1"/>
    <xf numFmtId="0" fontId="2" fillId="0" borderId="0" xfId="0" applyFont="1" applyFill="1"/>
    <xf numFmtId="39" fontId="2" fillId="0" borderId="0" xfId="0" applyNumberFormat="1" applyFont="1" applyFill="1" applyAlignment="1" applyProtection="1">
      <alignment horizontal="center"/>
    </xf>
    <xf numFmtId="5" fontId="2" fillId="0" borderId="0" xfId="0" applyNumberFormat="1" applyFont="1" applyFill="1"/>
    <xf numFmtId="165" fontId="2" fillId="0" borderId="0" xfId="1" applyFont="1" applyProtection="1"/>
    <xf numFmtId="165" fontId="2" fillId="0" borderId="1" xfId="1" applyFont="1" applyFill="1" applyBorder="1" applyProtection="1"/>
    <xf numFmtId="165" fontId="2" fillId="0" borderId="1" xfId="1" applyFont="1" applyBorder="1" applyProtection="1"/>
    <xf numFmtId="165" fontId="2" fillId="0" borderId="0" xfId="1" applyFont="1" applyFill="1" applyProtection="1"/>
    <xf numFmtId="165" fontId="2" fillId="0" borderId="0" xfId="1" quotePrefix="1" applyFont="1" applyFill="1" applyAlignment="1" applyProtection="1">
      <alignment horizontal="right"/>
    </xf>
    <xf numFmtId="165" fontId="2" fillId="0" borderId="0" xfId="1" applyFont="1" applyProtection="1">
      <protection locked="0" hidden="1"/>
    </xf>
    <xf numFmtId="165" fontId="2" fillId="0" borderId="3" xfId="1" applyFont="1" applyFill="1" applyBorder="1" applyProtection="1"/>
    <xf numFmtId="165" fontId="2" fillId="0" borderId="1" xfId="1" quotePrefix="1" applyFont="1" applyFill="1" applyBorder="1" applyAlignment="1" applyProtection="1">
      <alignment horizontal="right"/>
    </xf>
    <xf numFmtId="165" fontId="2" fillId="0" borderId="0" xfId="0" applyNumberFormat="1" applyFont="1" applyBorder="1" applyProtection="1"/>
    <xf numFmtId="37" fontId="3" fillId="0" borderId="0" xfId="0" applyNumberFormat="1" applyFont="1" applyAlignment="1" applyProtection="1">
      <alignment horizontal="right" vertical="top"/>
    </xf>
    <xf numFmtId="0" fontId="2" fillId="0" borderId="0" xfId="0" applyFont="1" applyFill="1" applyProtection="1">
      <protection locked="0" hidden="1"/>
    </xf>
    <xf numFmtId="0" fontId="4" fillId="0" borderId="0" xfId="0" applyFont="1"/>
    <xf numFmtId="0" fontId="3" fillId="0" borderId="0" xfId="0" applyFont="1"/>
    <xf numFmtId="37" fontId="0" fillId="0" borderId="0" xfId="0" applyNumberFormat="1" applyFill="1" applyProtection="1"/>
    <xf numFmtId="37" fontId="2" fillId="0" borderId="0" xfId="0" applyNumberFormat="1" applyFont="1" applyFill="1"/>
    <xf numFmtId="42" fontId="4" fillId="0" borderId="0" xfId="0" applyNumberFormat="1" applyFont="1" applyFill="1" applyBorder="1" applyProtection="1"/>
    <xf numFmtId="0" fontId="7" fillId="0" borderId="0" xfId="0" applyFont="1"/>
    <xf numFmtId="165" fontId="2" fillId="0" borderId="0" xfId="0" applyNumberFormat="1" applyFont="1" applyFill="1" applyBorder="1" applyProtection="1"/>
    <xf numFmtId="165" fontId="2" fillId="0" borderId="0" xfId="1" quotePrefix="1" applyFont="1" applyFill="1" applyBorder="1" applyAlignment="1" applyProtection="1">
      <alignment horizontal="right"/>
    </xf>
    <xf numFmtId="5" fontId="2" fillId="0" borderId="2" xfId="0" applyNumberFormat="1" applyFont="1" applyFill="1" applyBorder="1" applyProtection="1"/>
    <xf numFmtId="166" fontId="2" fillId="0" borderId="0" xfId="1" applyNumberFormat="1" applyFont="1"/>
    <xf numFmtId="42" fontId="2" fillId="0" borderId="0" xfId="0" applyNumberFormat="1" applyFont="1" applyBorder="1" applyProtection="1"/>
    <xf numFmtId="165" fontId="2" fillId="0" borderId="0" xfId="0" applyNumberFormat="1" applyFont="1"/>
    <xf numFmtId="164" fontId="2" fillId="0" borderId="0" xfId="0" applyNumberFormat="1" applyFont="1" applyFill="1" applyProtection="1">
      <protection hidden="1"/>
    </xf>
    <xf numFmtId="37" fontId="2" fillId="0" borderId="1" xfId="0" applyNumberFormat="1" applyFont="1" applyFill="1" applyBorder="1" applyProtection="1"/>
    <xf numFmtId="166" fontId="2" fillId="2" borderId="0" xfId="1" applyNumberFormat="1" applyFont="1" applyFill="1" applyProtection="1"/>
    <xf numFmtId="39" fontId="2" fillId="2" borderId="0" xfId="0" applyNumberFormat="1" applyFont="1" applyFill="1" applyAlignment="1" applyProtection="1">
      <alignment horizontal="left"/>
    </xf>
    <xf numFmtId="42" fontId="2" fillId="0" borderId="0" xfId="0" applyNumberFormat="1" applyFont="1" applyFill="1" applyProtection="1">
      <protection locked="0" hidden="1"/>
    </xf>
    <xf numFmtId="1" fontId="2" fillId="0" borderId="0" xfId="0" applyNumberFormat="1" applyFont="1" applyFill="1"/>
    <xf numFmtId="1" fontId="2" fillId="0" borderId="0" xfId="0" applyNumberFormat="1" applyFont="1"/>
    <xf numFmtId="39" fontId="2" fillId="0" borderId="0" xfId="0" quotePrefix="1" applyNumberFormat="1" applyFont="1" applyFill="1" applyAlignment="1" applyProtection="1">
      <alignment horizontal="left"/>
    </xf>
    <xf numFmtId="165" fontId="2" fillId="0" borderId="0" xfId="1" applyFont="1" applyFill="1"/>
    <xf numFmtId="165" fontId="0" fillId="0" borderId="0" xfId="0" applyNumberFormat="1" applyFill="1"/>
    <xf numFmtId="39" fontId="2" fillId="0" borderId="0" xfId="0" applyNumberFormat="1" applyFont="1" applyFill="1" applyAlignment="1" applyProtection="1">
      <alignment horizontal="left"/>
    </xf>
    <xf numFmtId="5" fontId="0" fillId="0" borderId="0" xfId="0" applyNumberFormat="1" applyFill="1"/>
    <xf numFmtId="5" fontId="2" fillId="0" borderId="0" xfId="0" quotePrefix="1" applyNumberFormat="1" applyFont="1" applyFill="1" applyAlignment="1" applyProtection="1">
      <alignment horizontal="left"/>
    </xf>
    <xf numFmtId="39" fontId="3" fillId="0" borderId="0" xfId="0" quotePrefix="1" applyNumberFormat="1" applyFont="1" applyFill="1" applyBorder="1" applyAlignment="1" applyProtection="1">
      <alignment horizontal="left"/>
    </xf>
    <xf numFmtId="39" fontId="3" fillId="0" borderId="0" xfId="0" quotePrefix="1" applyNumberFormat="1" applyFont="1" applyFill="1" applyAlignment="1" applyProtection="1">
      <alignment horizontal="left"/>
    </xf>
    <xf numFmtId="37" fontId="0" fillId="0" borderId="0" xfId="0" applyNumberFormat="1" applyFill="1"/>
    <xf numFmtId="37" fontId="2" fillId="0" borderId="0" xfId="0" applyNumberFormat="1" applyFont="1" applyFill="1" applyAlignment="1" applyProtection="1">
      <alignment horizontal="left"/>
    </xf>
    <xf numFmtId="3" fontId="2" fillId="0" borderId="0" xfId="0" applyNumberFormat="1" applyFont="1" applyFill="1"/>
    <xf numFmtId="165" fontId="2" fillId="0" borderId="0" xfId="1" applyFont="1" applyFill="1" applyBorder="1" applyProtection="1"/>
    <xf numFmtId="165" fontId="0" fillId="0" borderId="1" xfId="1" applyFont="1" applyFill="1" applyBorder="1"/>
    <xf numFmtId="165" fontId="2" fillId="0" borderId="0" xfId="1" applyFont="1" applyFill="1" applyAlignment="1" applyProtection="1">
      <alignment horizontal="right"/>
    </xf>
    <xf numFmtId="39" fontId="2" fillId="0" borderId="0" xfId="0" quotePrefix="1" applyNumberFormat="1" applyFont="1" applyFill="1" applyBorder="1" applyAlignment="1" applyProtection="1">
      <alignment horizontal="left"/>
    </xf>
    <xf numFmtId="0" fontId="0" fillId="0" borderId="0" xfId="0" applyBorder="1"/>
    <xf numFmtId="39" fontId="2" fillId="0" borderId="0" xfId="0" quotePrefix="1" applyNumberFormat="1" applyFont="1" applyBorder="1" applyAlignment="1" applyProtection="1">
      <alignment horizontal="left"/>
    </xf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W76"/>
  <sheetViews>
    <sheetView showGridLines="0"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ColWidth="13.75" defaultRowHeight="15.75" x14ac:dyDescent="0.25"/>
  <cols>
    <col min="1" max="1" width="4.25" customWidth="1"/>
    <col min="2" max="2" width="33.25" bestFit="1" customWidth="1"/>
    <col min="3" max="3" width="11" style="26" customWidth="1"/>
    <col min="4" max="4" width="11.75" style="26" bestFit="1" customWidth="1"/>
    <col min="5" max="5" width="11.75" bestFit="1" customWidth="1"/>
    <col min="6" max="6" width="10.75" style="26" bestFit="1" customWidth="1"/>
    <col min="7" max="7" width="10.75" bestFit="1" customWidth="1"/>
    <col min="8" max="8" width="11" bestFit="1" customWidth="1"/>
    <col min="9" max="10" width="10.125" customWidth="1"/>
    <col min="11" max="12" width="11.25" customWidth="1"/>
    <col min="13" max="13" width="10.125" customWidth="1"/>
    <col min="14" max="14" width="12.75" customWidth="1"/>
    <col min="15" max="15" width="12" customWidth="1"/>
  </cols>
  <sheetData>
    <row r="1" spans="1:16" x14ac:dyDescent="0.25">
      <c r="A1" s="3" t="s">
        <v>0</v>
      </c>
      <c r="B1" s="3"/>
      <c r="C1" s="40"/>
      <c r="D1" s="57"/>
      <c r="E1" s="57"/>
      <c r="F1" s="27"/>
      <c r="G1" s="27"/>
      <c r="H1" s="27"/>
      <c r="I1" s="27"/>
      <c r="J1" s="3"/>
      <c r="K1" s="3"/>
      <c r="M1" s="3"/>
      <c r="N1" s="3"/>
      <c r="O1" s="3"/>
    </row>
    <row r="2" spans="1:16" x14ac:dyDescent="0.25">
      <c r="A2" s="3" t="s">
        <v>66</v>
      </c>
      <c r="B2" s="3"/>
      <c r="C2" s="40"/>
      <c r="D2" s="57"/>
      <c r="E2" s="57"/>
      <c r="F2" s="27"/>
      <c r="G2" s="27"/>
      <c r="H2" s="27"/>
      <c r="I2" s="27"/>
      <c r="J2" s="3"/>
      <c r="K2" s="3"/>
      <c r="M2" s="3"/>
      <c r="N2" s="3"/>
      <c r="O2" s="3"/>
    </row>
    <row r="3" spans="1:16" x14ac:dyDescent="0.25">
      <c r="A3" s="7" t="s">
        <v>61</v>
      </c>
      <c r="B3" s="3"/>
      <c r="C3" s="27"/>
      <c r="D3" s="58"/>
      <c r="E3" s="59"/>
      <c r="F3" s="27"/>
      <c r="G3" s="3"/>
      <c r="H3" s="3"/>
      <c r="I3" s="3"/>
      <c r="J3" s="52"/>
      <c r="K3" s="3"/>
      <c r="L3" s="3"/>
      <c r="M3" s="3"/>
      <c r="N3" s="3"/>
      <c r="O3" s="3"/>
    </row>
    <row r="4" spans="1:16" x14ac:dyDescent="0.25">
      <c r="A4" s="3"/>
      <c r="C4" s="28" t="s">
        <v>1</v>
      </c>
      <c r="D4" s="28" t="s">
        <v>2</v>
      </c>
      <c r="E4" s="6" t="s">
        <v>3</v>
      </c>
      <c r="F4" s="28" t="s">
        <v>4</v>
      </c>
      <c r="G4" s="10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6" t="s">
        <v>10</v>
      </c>
      <c r="M4" s="6" t="s">
        <v>11</v>
      </c>
      <c r="N4" s="6" t="s">
        <v>65</v>
      </c>
      <c r="O4" s="4" t="s">
        <v>12</v>
      </c>
    </row>
    <row r="5" spans="1:16" s="26" customFormat="1" x14ac:dyDescent="0.25">
      <c r="A5" s="63" t="s">
        <v>13</v>
      </c>
      <c r="B5" s="27"/>
      <c r="C5" s="20"/>
      <c r="D5" s="20"/>
      <c r="E5" s="20"/>
      <c r="F5" s="20"/>
      <c r="G5" s="27"/>
      <c r="H5" s="20"/>
      <c r="I5" s="20"/>
      <c r="J5" s="20"/>
      <c r="K5" s="20"/>
      <c r="L5" s="33"/>
      <c r="M5" s="33"/>
      <c r="N5" s="33"/>
      <c r="O5" s="20"/>
    </row>
    <row r="6" spans="1:16" s="64" customFormat="1" x14ac:dyDescent="0.25">
      <c r="B6" s="65" t="s">
        <v>14</v>
      </c>
      <c r="C6" s="24">
        <v>17920942</v>
      </c>
      <c r="D6" s="24">
        <f>+C44</f>
        <v>24082727</v>
      </c>
      <c r="E6" s="24">
        <f>+D44</f>
        <v>41299573.75</v>
      </c>
      <c r="F6" s="24">
        <f>+E44</f>
        <v>49293657.75</v>
      </c>
      <c r="G6" s="24">
        <v>55298483</v>
      </c>
      <c r="H6" s="24">
        <v>68031973</v>
      </c>
      <c r="I6" s="24">
        <v>77134672</v>
      </c>
      <c r="J6" s="24">
        <v>86498255</v>
      </c>
      <c r="K6" s="24">
        <v>303693426</v>
      </c>
      <c r="L6" s="24">
        <v>312373028</v>
      </c>
      <c r="M6" s="24">
        <v>262462765</v>
      </c>
      <c r="N6" s="24">
        <v>360211024</v>
      </c>
      <c r="O6" s="24">
        <f>+C6</f>
        <v>17920942</v>
      </c>
    </row>
    <row r="7" spans="1:16" s="26" customFormat="1" x14ac:dyDescent="0.25">
      <c r="B7" s="63" t="s">
        <v>15</v>
      </c>
      <c r="C7" s="31">
        <f>SUM(C6:C6)</f>
        <v>17920942</v>
      </c>
      <c r="D7" s="31">
        <f>SUM(D6:D6)</f>
        <v>24082727</v>
      </c>
      <c r="E7" s="31">
        <f>SUM(E6:E6)</f>
        <v>41299573.75</v>
      </c>
      <c r="F7" s="31">
        <f t="shared" ref="F7:N7" si="0">SUM(F6:F6)</f>
        <v>49293657.75</v>
      </c>
      <c r="G7" s="31">
        <f t="shared" si="0"/>
        <v>55298483</v>
      </c>
      <c r="H7" s="31">
        <f t="shared" si="0"/>
        <v>68031973</v>
      </c>
      <c r="I7" s="31">
        <f t="shared" si="0"/>
        <v>77134672</v>
      </c>
      <c r="J7" s="31">
        <f t="shared" si="0"/>
        <v>86498255</v>
      </c>
      <c r="K7" s="31">
        <f t="shared" si="0"/>
        <v>303693426</v>
      </c>
      <c r="L7" s="31">
        <f t="shared" si="0"/>
        <v>312373028</v>
      </c>
      <c r="M7" s="31">
        <f t="shared" si="0"/>
        <v>262462765</v>
      </c>
      <c r="N7" s="31">
        <f t="shared" si="0"/>
        <v>360211024</v>
      </c>
      <c r="O7" s="31">
        <f>SUM(O6:O6)</f>
        <v>17920942</v>
      </c>
    </row>
    <row r="8" spans="1:16" s="26" customFormat="1" x14ac:dyDescent="0.25">
      <c r="A8" s="63" t="s">
        <v>16</v>
      </c>
      <c r="B8" s="27"/>
      <c r="C8" s="33"/>
      <c r="D8" s="33"/>
      <c r="E8" s="33"/>
      <c r="F8" s="33"/>
      <c r="G8" s="61"/>
      <c r="H8" s="33"/>
      <c r="I8" s="33"/>
      <c r="J8" s="33"/>
      <c r="K8" s="33"/>
      <c r="L8" s="33"/>
      <c r="M8" s="33"/>
      <c r="N8" s="33"/>
      <c r="O8" s="33"/>
    </row>
    <row r="9" spans="1:16" s="26" customFormat="1" x14ac:dyDescent="0.25">
      <c r="A9" s="60" t="s">
        <v>17</v>
      </c>
      <c r="B9" s="27"/>
      <c r="C9" s="33"/>
      <c r="D9" s="33"/>
      <c r="E9" s="33"/>
      <c r="F9" s="33"/>
      <c r="G9" s="61"/>
      <c r="H9" s="33"/>
      <c r="I9" s="33"/>
      <c r="J9" s="33"/>
      <c r="K9" s="33"/>
      <c r="L9" s="33"/>
      <c r="M9" s="33"/>
      <c r="N9" s="33"/>
      <c r="O9" s="33"/>
    </row>
    <row r="10" spans="1:16" s="26" customFormat="1" x14ac:dyDescent="0.25">
      <c r="B10" s="60" t="s">
        <v>50</v>
      </c>
      <c r="C10" s="33">
        <v>0</v>
      </c>
      <c r="D10" s="33">
        <v>0</v>
      </c>
      <c r="E10" s="33">
        <v>0</v>
      </c>
      <c r="F10" s="33"/>
      <c r="G10" s="33"/>
      <c r="H10" s="33"/>
      <c r="I10" s="33"/>
      <c r="J10" s="33"/>
      <c r="K10" s="33"/>
      <c r="L10" s="33"/>
      <c r="M10" s="33"/>
      <c r="N10" s="33"/>
      <c r="O10" s="33">
        <f t="shared" ref="O10:O15" si="1">SUM(C10:N10)</f>
        <v>0</v>
      </c>
      <c r="P10" s="62"/>
    </row>
    <row r="11" spans="1:16" s="26" customFormat="1" x14ac:dyDescent="0.25">
      <c r="B11" s="60" t="s">
        <v>49</v>
      </c>
      <c r="C11" s="33">
        <v>996848</v>
      </c>
      <c r="D11" s="33">
        <f>625471+27840+18000</f>
        <v>671311</v>
      </c>
      <c r="E11" s="33">
        <v>278086</v>
      </c>
      <c r="F11" s="33">
        <v>318902</v>
      </c>
      <c r="G11" s="33">
        <v>321248</v>
      </c>
      <c r="H11" s="33">
        <v>500975</v>
      </c>
      <c r="I11" s="33">
        <f>462059+90000</f>
        <v>552059</v>
      </c>
      <c r="J11" s="33">
        <v>91849</v>
      </c>
      <c r="K11" s="33">
        <f>155715+60000+1</f>
        <v>215716</v>
      </c>
      <c r="L11" s="33">
        <v>198409</v>
      </c>
      <c r="M11" s="33">
        <v>19500</v>
      </c>
      <c r="N11" s="33">
        <v>110257</v>
      </c>
      <c r="O11" s="33">
        <f>SUM(C11:N11)</f>
        <v>4275160</v>
      </c>
      <c r="P11" s="62"/>
    </row>
    <row r="12" spans="1:16" s="26" customFormat="1" ht="15" customHeight="1" x14ac:dyDescent="0.25">
      <c r="B12" s="60" t="s">
        <v>18</v>
      </c>
      <c r="C12" s="33"/>
      <c r="D12" s="33"/>
      <c r="E12" s="33"/>
      <c r="F12" s="33">
        <v>69318</v>
      </c>
      <c r="G12" s="33"/>
      <c r="I12" s="33">
        <v>137221</v>
      </c>
      <c r="J12" s="33"/>
      <c r="K12" s="33"/>
      <c r="L12" s="33">
        <v>357589</v>
      </c>
      <c r="M12" s="33"/>
      <c r="N12" s="33">
        <v>485038</v>
      </c>
      <c r="O12" s="33">
        <f t="shared" si="1"/>
        <v>1049166</v>
      </c>
      <c r="P12" s="62"/>
    </row>
    <row r="13" spans="1:16" s="26" customFormat="1" ht="15.75" customHeight="1" x14ac:dyDescent="0.25">
      <c r="B13" s="63" t="s">
        <v>60</v>
      </c>
      <c r="C13" s="33"/>
      <c r="D13" s="33"/>
      <c r="E13" s="33">
        <v>10</v>
      </c>
      <c r="F13" s="33"/>
      <c r="G13" s="33"/>
      <c r="I13" s="33"/>
      <c r="J13" s="33"/>
      <c r="K13" s="33"/>
      <c r="L13" s="33"/>
      <c r="M13" s="33"/>
      <c r="N13" s="33"/>
      <c r="O13" s="33">
        <f t="shared" si="1"/>
        <v>10</v>
      </c>
      <c r="P13" s="62"/>
    </row>
    <row r="14" spans="1:16" s="26" customFormat="1" x14ac:dyDescent="0.25">
      <c r="B14" s="60" t="s">
        <v>19</v>
      </c>
      <c r="C14" s="33"/>
      <c r="D14" s="33"/>
      <c r="E14" s="33"/>
      <c r="F14" s="33">
        <v>-10155</v>
      </c>
      <c r="G14" s="33"/>
      <c r="I14" s="33">
        <v>-18866</v>
      </c>
      <c r="J14" s="33"/>
      <c r="K14" s="33"/>
      <c r="L14" s="33">
        <v>-46993.84</v>
      </c>
      <c r="M14" s="33"/>
      <c r="N14" s="33">
        <v>-75004</v>
      </c>
      <c r="O14" s="33">
        <f t="shared" si="1"/>
        <v>-151018.84</v>
      </c>
      <c r="P14" s="62"/>
    </row>
    <row r="15" spans="1:16" s="26" customFormat="1" x14ac:dyDescent="0.25">
      <c r="B15" s="60" t="s">
        <v>20</v>
      </c>
      <c r="C15" s="33"/>
      <c r="D15" s="33"/>
      <c r="E15" s="33"/>
      <c r="F15" s="33">
        <v>114982</v>
      </c>
      <c r="G15" s="33"/>
      <c r="I15" s="33">
        <v>284179</v>
      </c>
      <c r="J15" s="33"/>
      <c r="K15" s="33"/>
      <c r="L15" s="33">
        <v>235705</v>
      </c>
      <c r="M15" s="33"/>
      <c r="N15" s="33">
        <v>87570</v>
      </c>
      <c r="O15" s="33">
        <f t="shared" si="1"/>
        <v>722436</v>
      </c>
      <c r="P15" s="62"/>
    </row>
    <row r="16" spans="1:16" s="26" customFormat="1" x14ac:dyDescent="0.25">
      <c r="B16" s="60" t="s">
        <v>21</v>
      </c>
      <c r="C16" s="33">
        <v>27093</v>
      </c>
      <c r="D16" s="33">
        <v>8950</v>
      </c>
      <c r="E16" s="33">
        <f>12102</f>
        <v>12102</v>
      </c>
      <c r="F16" s="33">
        <v>2194</v>
      </c>
      <c r="G16" s="33">
        <v>29099</v>
      </c>
      <c r="H16" s="33">
        <v>10339</v>
      </c>
      <c r="I16" s="33">
        <v>1655</v>
      </c>
      <c r="J16" s="33">
        <v>8552</v>
      </c>
      <c r="K16" s="33">
        <f>6931+19759</f>
        <v>26690</v>
      </c>
      <c r="L16" s="33">
        <f>19295+2229</f>
        <v>21524</v>
      </c>
      <c r="M16" s="33">
        <v>135884</v>
      </c>
      <c r="N16" s="33">
        <f>2154+23734</f>
        <v>25888</v>
      </c>
      <c r="O16" s="33">
        <f>SUM(C16:N16)</f>
        <v>309970</v>
      </c>
      <c r="P16" s="62"/>
    </row>
    <row r="17" spans="1:16" s="26" customFormat="1" x14ac:dyDescent="0.25">
      <c r="A17" s="74" t="s">
        <v>62</v>
      </c>
      <c r="B17" s="60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>
        <v>15173</v>
      </c>
      <c r="N17" s="33">
        <v>91443</v>
      </c>
      <c r="O17" s="33">
        <f>SUM(C17:N17)</f>
        <v>106616</v>
      </c>
      <c r="P17" s="62"/>
    </row>
    <row r="18" spans="1:16" s="26" customFormat="1" x14ac:dyDescent="0.25">
      <c r="A18" s="66" t="s">
        <v>51</v>
      </c>
      <c r="B18" s="67"/>
      <c r="C18" s="33">
        <v>4937332</v>
      </c>
      <c r="D18" s="33">
        <f>8294355.75+382000</f>
        <v>8676355.75</v>
      </c>
      <c r="E18" s="33">
        <v>1361593</v>
      </c>
      <c r="F18" s="33">
        <v>1589346</v>
      </c>
      <c r="G18" s="33">
        <v>5227643</v>
      </c>
      <c r="H18" s="33">
        <v>2630584</v>
      </c>
      <c r="I18" s="33">
        <f>1759027+375000</f>
        <v>2134027</v>
      </c>
      <c r="J18" s="33">
        <v>378124</v>
      </c>
      <c r="K18" s="33">
        <f>993156+250000</f>
        <v>1243156</v>
      </c>
      <c r="L18" s="33">
        <v>1318552</v>
      </c>
      <c r="M18" s="33">
        <v>512500</v>
      </c>
      <c r="N18" s="33">
        <v>1082501</v>
      </c>
      <c r="O18" s="33">
        <f t="shared" ref="O18" si="2">SUM(C18:N18)</f>
        <v>31091713.75</v>
      </c>
      <c r="P18" s="62"/>
    </row>
    <row r="19" spans="1:16" s="26" customFormat="1" x14ac:dyDescent="0.25">
      <c r="A19" s="60" t="s">
        <v>22</v>
      </c>
      <c r="B19" s="2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>
        <f>SUM(C19:N19)</f>
        <v>0</v>
      </c>
      <c r="P19" s="62"/>
    </row>
    <row r="20" spans="1:16" s="26" customFormat="1" x14ac:dyDescent="0.25">
      <c r="A20" s="60" t="s">
        <v>23</v>
      </c>
      <c r="B20" s="2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62"/>
    </row>
    <row r="21" spans="1:16" s="26" customFormat="1" x14ac:dyDescent="0.25">
      <c r="B21" s="60" t="s">
        <v>24</v>
      </c>
      <c r="C21" s="33"/>
      <c r="D21" s="33"/>
      <c r="E21" s="33"/>
      <c r="F21" s="33"/>
      <c r="G21" s="33"/>
      <c r="H21" s="33"/>
      <c r="I21" s="33"/>
      <c r="J21" s="33">
        <v>210000000</v>
      </c>
      <c r="K21" s="33"/>
      <c r="L21" s="33"/>
      <c r="M21" s="33">
        <v>90000000</v>
      </c>
      <c r="N21" s="33">
        <v>8700000</v>
      </c>
      <c r="O21" s="33">
        <f t="shared" ref="O21:O27" si="3">SUM(C21:N21)</f>
        <v>308700000</v>
      </c>
      <c r="P21" s="62"/>
    </row>
    <row r="22" spans="1:16" s="26" customFormat="1" x14ac:dyDescent="0.25">
      <c r="B22" s="60" t="s">
        <v>25</v>
      </c>
      <c r="C22" s="33"/>
      <c r="D22" s="33">
        <v>486742</v>
      </c>
      <c r="E22" s="33">
        <v>452678</v>
      </c>
      <c r="F22" s="33">
        <f>482802+2805</f>
        <v>485607</v>
      </c>
      <c r="G22" s="33">
        <v>514378</v>
      </c>
      <c r="H22" s="33">
        <v>396027</v>
      </c>
      <c r="I22" s="33">
        <f>8543+446036</f>
        <v>454579</v>
      </c>
      <c r="J22" s="33">
        <v>465172</v>
      </c>
      <c r="K22" s="33">
        <v>738133</v>
      </c>
      <c r="L22" s="33">
        <f>696649+7527</f>
        <v>704176</v>
      </c>
      <c r="M22" s="33">
        <v>767323</v>
      </c>
      <c r="N22" s="33">
        <f>1187323+17674</f>
        <v>1204997</v>
      </c>
      <c r="O22" s="33">
        <f t="shared" si="3"/>
        <v>6669812</v>
      </c>
      <c r="P22" s="62"/>
    </row>
    <row r="23" spans="1:16" s="26" customFormat="1" x14ac:dyDescent="0.25">
      <c r="B23" s="63" t="s">
        <v>59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>
        <v>193134</v>
      </c>
      <c r="O23" s="33">
        <f t="shared" si="3"/>
        <v>193134</v>
      </c>
      <c r="P23" s="62"/>
    </row>
    <row r="24" spans="1:16" s="26" customFormat="1" x14ac:dyDescent="0.25">
      <c r="B24" s="60" t="s">
        <v>26</v>
      </c>
      <c r="C24" s="33"/>
      <c r="D24" s="33"/>
      <c r="E24" s="33">
        <v>0</v>
      </c>
      <c r="F24" s="33">
        <v>0</v>
      </c>
      <c r="G24" s="33"/>
      <c r="H24" s="33">
        <v>0</v>
      </c>
      <c r="I24" s="33"/>
      <c r="J24" s="33"/>
      <c r="K24" s="33">
        <v>-400</v>
      </c>
      <c r="L24" s="33"/>
      <c r="M24" s="33"/>
      <c r="N24" s="33">
        <v>0</v>
      </c>
      <c r="O24" s="33">
        <f t="shared" si="3"/>
        <v>-400</v>
      </c>
      <c r="P24" s="62"/>
    </row>
    <row r="25" spans="1:16" s="26" customFormat="1" x14ac:dyDescent="0.25">
      <c r="B25" s="60" t="s">
        <v>27</v>
      </c>
      <c r="C25" s="33"/>
      <c r="D25" s="33">
        <v>1720295</v>
      </c>
      <c r="E25" s="33">
        <v>677618</v>
      </c>
      <c r="F25" s="33">
        <v>959711</v>
      </c>
      <c r="G25" s="33">
        <v>1009194</v>
      </c>
      <c r="H25" s="33">
        <v>1434984</v>
      </c>
      <c r="I25" s="33">
        <v>757290</v>
      </c>
      <c r="J25" s="33">
        <v>1469073</v>
      </c>
      <c r="K25" s="33">
        <v>915356</v>
      </c>
      <c r="L25" s="33">
        <v>734423</v>
      </c>
      <c r="M25" s="33">
        <v>1076087</v>
      </c>
      <c r="N25" s="33">
        <v>1667395</v>
      </c>
      <c r="O25" s="33">
        <f t="shared" si="3"/>
        <v>12421426</v>
      </c>
      <c r="P25" s="62"/>
    </row>
    <row r="26" spans="1:16" s="26" customFormat="1" x14ac:dyDescent="0.25">
      <c r="B26" s="60" t="s">
        <v>28</v>
      </c>
      <c r="C26" s="33">
        <v>200512</v>
      </c>
      <c r="D26" s="33">
        <v>5717093</v>
      </c>
      <c r="E26" s="33">
        <v>5279775</v>
      </c>
      <c r="F26" s="33">
        <v>6413514</v>
      </c>
      <c r="G26" s="33">
        <v>5631928</v>
      </c>
      <c r="H26" s="33">
        <v>4129790</v>
      </c>
      <c r="I26" s="33">
        <v>5061439</v>
      </c>
      <c r="J26" s="33">
        <v>4782401</v>
      </c>
      <c r="K26" s="33">
        <v>5540951</v>
      </c>
      <c r="L26" s="33">
        <v>5519486</v>
      </c>
      <c r="M26" s="33">
        <v>5221792</v>
      </c>
      <c r="N26" s="33">
        <f>10336138+161+464</f>
        <v>10336763</v>
      </c>
      <c r="O26" s="33">
        <f t="shared" si="3"/>
        <v>63835444</v>
      </c>
      <c r="P26" s="62"/>
    </row>
    <row r="27" spans="1:16" s="26" customFormat="1" x14ac:dyDescent="0.25">
      <c r="B27" s="60" t="s">
        <v>29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/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f t="shared" si="3"/>
        <v>0</v>
      </c>
      <c r="P27" s="62"/>
    </row>
    <row r="28" spans="1:16" s="68" customFormat="1" x14ac:dyDescent="0.25">
      <c r="A28" s="26"/>
      <c r="B28" s="63" t="s">
        <v>30</v>
      </c>
      <c r="C28" s="31">
        <f t="shared" ref="C28:N28" si="4">SUM(C21:C27)</f>
        <v>200512</v>
      </c>
      <c r="D28" s="31">
        <f>SUM(D21:D27)</f>
        <v>7924130</v>
      </c>
      <c r="E28" s="31">
        <f>SUM(E21:E27)</f>
        <v>6410071</v>
      </c>
      <c r="F28" s="31">
        <f>SUM(F21:F27)</f>
        <v>7858832</v>
      </c>
      <c r="G28" s="31">
        <f>SUM(G21:G27)</f>
        <v>7155500</v>
      </c>
      <c r="H28" s="31">
        <f t="shared" si="4"/>
        <v>5960801</v>
      </c>
      <c r="I28" s="31">
        <f t="shared" si="4"/>
        <v>6273308</v>
      </c>
      <c r="J28" s="31">
        <f t="shared" si="4"/>
        <v>216716646</v>
      </c>
      <c r="K28" s="31">
        <f>SUM(K21:K27)</f>
        <v>7194040</v>
      </c>
      <c r="L28" s="31">
        <f>SUM(L21:L27)</f>
        <v>6958085</v>
      </c>
      <c r="M28" s="31">
        <f>SUM(M21:M27)</f>
        <v>97065202</v>
      </c>
      <c r="N28" s="31">
        <f t="shared" si="4"/>
        <v>22102289</v>
      </c>
      <c r="O28" s="31">
        <f>SUM(O21:O27)</f>
        <v>391819416</v>
      </c>
      <c r="P28" s="62"/>
    </row>
    <row r="29" spans="1:16" s="26" customFormat="1" x14ac:dyDescent="0.25">
      <c r="A29" s="68"/>
      <c r="B29" s="69" t="s">
        <v>31</v>
      </c>
      <c r="C29" s="31">
        <f t="shared" ref="C29:I29" si="5">SUM(C10:C27)</f>
        <v>6161785</v>
      </c>
      <c r="D29" s="31">
        <f t="shared" si="5"/>
        <v>17280746.75</v>
      </c>
      <c r="E29" s="31">
        <f t="shared" si="5"/>
        <v>8061862</v>
      </c>
      <c r="F29" s="31">
        <f t="shared" si="5"/>
        <v>9943419</v>
      </c>
      <c r="G29" s="31">
        <f t="shared" si="5"/>
        <v>12733490</v>
      </c>
      <c r="H29" s="31">
        <f t="shared" si="5"/>
        <v>9102699</v>
      </c>
      <c r="I29" s="31">
        <f t="shared" si="5"/>
        <v>9363583</v>
      </c>
      <c r="J29" s="31">
        <f>SUM(J10:J26)</f>
        <v>217195171</v>
      </c>
      <c r="K29" s="31">
        <f>SUM(K10:K27)</f>
        <v>8679602</v>
      </c>
      <c r="L29" s="31">
        <f>SUM(L10:L27)</f>
        <v>9042870.1600000001</v>
      </c>
      <c r="M29" s="31">
        <f>SUM(M10:M27)</f>
        <v>97748259</v>
      </c>
      <c r="N29" s="31">
        <f>SUM(N10:N27)</f>
        <v>23909982</v>
      </c>
      <c r="O29" s="31">
        <f>SUM(O10:O27)</f>
        <v>429223468.90999997</v>
      </c>
      <c r="P29" s="62"/>
    </row>
    <row r="30" spans="1:16" s="26" customFormat="1" x14ac:dyDescent="0.25">
      <c r="A30" s="63" t="s">
        <v>32</v>
      </c>
      <c r="B30" s="27"/>
      <c r="C30" s="20"/>
      <c r="D30" s="20"/>
      <c r="E30" s="20"/>
      <c r="F30" s="20"/>
      <c r="G30" s="70"/>
      <c r="H30" s="20"/>
      <c r="I30" s="20"/>
      <c r="J30" s="20"/>
      <c r="K30" s="20"/>
      <c r="L30" s="33"/>
      <c r="M30" s="33"/>
      <c r="N30" s="33"/>
      <c r="O30" s="33"/>
      <c r="P30" s="62"/>
    </row>
    <row r="31" spans="1:16" s="26" customFormat="1" x14ac:dyDescent="0.25">
      <c r="B31" s="60" t="s">
        <v>33</v>
      </c>
      <c r="C31" s="34">
        <v>0</v>
      </c>
      <c r="D31" s="34">
        <v>63900</v>
      </c>
      <c r="E31" s="34">
        <v>67778</v>
      </c>
      <c r="F31" s="34">
        <v>0</v>
      </c>
      <c r="G31" s="34">
        <v>0</v>
      </c>
      <c r="H31" s="34"/>
      <c r="I31" s="34"/>
      <c r="J31" s="34"/>
      <c r="K31" s="34"/>
      <c r="L31" s="34"/>
      <c r="M31" s="34"/>
      <c r="N31" s="34"/>
      <c r="O31" s="33">
        <f>SUM(C31:N31)</f>
        <v>131678</v>
      </c>
      <c r="P31" s="62"/>
    </row>
    <row r="32" spans="1:16" s="26" customFormat="1" x14ac:dyDescent="0.25">
      <c r="B32" s="60" t="s">
        <v>34</v>
      </c>
      <c r="C32" s="34"/>
      <c r="D32" s="34"/>
      <c r="E32" s="34"/>
      <c r="F32" s="48">
        <v>3938594</v>
      </c>
      <c r="G32" s="34">
        <v>0</v>
      </c>
      <c r="H32" s="34"/>
      <c r="I32" s="34"/>
      <c r="J32" s="34"/>
      <c r="K32" s="34"/>
      <c r="L32" s="73">
        <v>58953133</v>
      </c>
      <c r="M32" s="34"/>
      <c r="N32" s="34"/>
      <c r="O32" s="33">
        <f t="shared" ref="O32:O38" si="6">SUM(C32:N32)</f>
        <v>62891727</v>
      </c>
      <c r="P32" s="62"/>
    </row>
    <row r="33" spans="1:16" s="26" customFormat="1" x14ac:dyDescent="0.25">
      <c r="B33" s="60" t="s">
        <v>29</v>
      </c>
      <c r="C33" s="34"/>
      <c r="D33" s="34"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3">
        <f t="shared" si="6"/>
        <v>0</v>
      </c>
      <c r="P33" s="62"/>
    </row>
    <row r="34" spans="1:16" s="26" customFormat="1" x14ac:dyDescent="0.25">
      <c r="B34" s="60" t="s">
        <v>35</v>
      </c>
      <c r="C34" s="34"/>
      <c r="D34" s="34"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3">
        <f t="shared" si="6"/>
        <v>0</v>
      </c>
      <c r="P34" s="62"/>
    </row>
    <row r="35" spans="1:16" s="26" customFormat="1" x14ac:dyDescent="0.25">
      <c r="B35" s="60" t="s">
        <v>36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3">
        <f t="shared" si="6"/>
        <v>0</v>
      </c>
      <c r="P35" s="62"/>
    </row>
    <row r="36" spans="1:16" s="26" customFormat="1" x14ac:dyDescent="0.25">
      <c r="B36" s="63" t="s">
        <v>46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71">
        <f t="shared" si="6"/>
        <v>0</v>
      </c>
      <c r="P36" s="62"/>
    </row>
    <row r="37" spans="1:16" s="26" customFormat="1" x14ac:dyDescent="0.25">
      <c r="B37" s="60" t="s">
        <v>48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v>375739378</v>
      </c>
      <c r="O37" s="71">
        <f>SUM(C37:N37)</f>
        <v>375739378</v>
      </c>
      <c r="P37" s="62"/>
    </row>
    <row r="38" spans="1:16" s="26" customFormat="1" x14ac:dyDescent="0.25">
      <c r="B38" s="63" t="s">
        <v>47</v>
      </c>
      <c r="C38" s="34">
        <v>0</v>
      </c>
      <c r="D38" s="37">
        <v>0</v>
      </c>
      <c r="E38" s="37">
        <v>0</v>
      </c>
      <c r="F38" s="37">
        <v>0</v>
      </c>
      <c r="G38" s="37">
        <v>0</v>
      </c>
      <c r="H38" s="34"/>
      <c r="I38" s="34"/>
      <c r="J38" s="34"/>
      <c r="K38" s="34"/>
      <c r="L38" s="34"/>
      <c r="M38" s="72"/>
      <c r="N38" s="31"/>
      <c r="O38" s="71">
        <f t="shared" si="6"/>
        <v>0</v>
      </c>
    </row>
    <row r="39" spans="1:16" s="17" customFormat="1" x14ac:dyDescent="0.25">
      <c r="A39" s="26"/>
      <c r="B39" s="60" t="s">
        <v>37</v>
      </c>
      <c r="C39" s="36">
        <f t="shared" ref="C39:N39" si="7">SUM(C36:C38)</f>
        <v>0</v>
      </c>
      <c r="D39" s="31">
        <f t="shared" si="7"/>
        <v>0</v>
      </c>
      <c r="E39" s="31">
        <f t="shared" si="7"/>
        <v>0</v>
      </c>
      <c r="F39" s="31">
        <f t="shared" si="7"/>
        <v>0</v>
      </c>
      <c r="G39" s="36">
        <f t="shared" si="7"/>
        <v>0</v>
      </c>
      <c r="H39" s="36">
        <f t="shared" si="7"/>
        <v>0</v>
      </c>
      <c r="I39" s="36">
        <f t="shared" si="7"/>
        <v>0</v>
      </c>
      <c r="J39" s="36">
        <f t="shared" si="7"/>
        <v>0</v>
      </c>
      <c r="K39" s="36">
        <f t="shared" si="7"/>
        <v>0</v>
      </c>
      <c r="L39" s="36">
        <f t="shared" si="7"/>
        <v>0</v>
      </c>
      <c r="M39" s="31">
        <f t="shared" si="7"/>
        <v>0</v>
      </c>
      <c r="N39" s="31">
        <f t="shared" si="7"/>
        <v>375739378</v>
      </c>
      <c r="O39" s="36">
        <f>SUM(O36:O38)</f>
        <v>375739378</v>
      </c>
    </row>
    <row r="40" spans="1:16" ht="15.75" customHeight="1" x14ac:dyDescent="0.25">
      <c r="A40" s="17"/>
      <c r="B40" s="18" t="s">
        <v>38</v>
      </c>
      <c r="C40" s="31">
        <f>SUM(C31:C38)</f>
        <v>0</v>
      </c>
      <c r="D40" s="31">
        <f>SUM(D31:D38)</f>
        <v>63900</v>
      </c>
      <c r="E40" s="32">
        <f>SUM(E31:E38)</f>
        <v>67778</v>
      </c>
      <c r="F40" s="31">
        <f>SUM(F31:F38)</f>
        <v>3938594</v>
      </c>
      <c r="G40" s="32">
        <f>SUM(G31:G38)</f>
        <v>0</v>
      </c>
      <c r="H40" s="32">
        <f t="shared" ref="H40:N40" si="8">SUM(H31:H38)</f>
        <v>0</v>
      </c>
      <c r="I40" s="31">
        <f>SUM(I31:I38)</f>
        <v>0</v>
      </c>
      <c r="J40" s="32">
        <f t="shared" si="8"/>
        <v>0</v>
      </c>
      <c r="K40" s="32">
        <f t="shared" si="8"/>
        <v>0</v>
      </c>
      <c r="L40" s="31">
        <f>SUM(L31:L38)</f>
        <v>58953133</v>
      </c>
      <c r="M40" s="32">
        <f>SUM(M31:M38)</f>
        <v>0</v>
      </c>
      <c r="N40" s="31">
        <f t="shared" si="8"/>
        <v>375739378</v>
      </c>
      <c r="O40" s="32">
        <f>SUM(O31:O38)</f>
        <v>438762783</v>
      </c>
    </row>
    <row r="41" spans="1:16" x14ac:dyDescent="0.25">
      <c r="A41" s="3"/>
      <c r="B41" s="3"/>
      <c r="C41" s="20"/>
      <c r="D41" s="20"/>
      <c r="E41" s="5"/>
      <c r="F41" s="20"/>
      <c r="G41" s="11"/>
      <c r="H41" s="14">
        <f>H7+H29-H40</f>
        <v>77134672</v>
      </c>
      <c r="I41" s="53">
        <f>I7+I29-I40</f>
        <v>86498255</v>
      </c>
      <c r="J41" s="15">
        <f>J7+J29-J40</f>
        <v>303693426</v>
      </c>
      <c r="K41" s="16">
        <f>K7+K29-K40</f>
        <v>312373028</v>
      </c>
      <c r="L41" s="33"/>
      <c r="M41" s="30"/>
      <c r="N41" s="33"/>
      <c r="O41" s="35"/>
    </row>
    <row r="42" spans="1:16" x14ac:dyDescent="0.25">
      <c r="A42" s="2" t="s">
        <v>39</v>
      </c>
      <c r="B42" s="3"/>
      <c r="C42" s="20"/>
      <c r="D42" s="20"/>
      <c r="E42" s="5"/>
      <c r="F42" s="20"/>
      <c r="G42" s="11"/>
      <c r="H42" s="5"/>
      <c r="I42" s="20"/>
      <c r="J42" s="5"/>
      <c r="K42" s="5"/>
      <c r="L42" s="33"/>
      <c r="M42" s="30"/>
      <c r="N42" s="33"/>
      <c r="O42" s="30"/>
      <c r="P42" s="50"/>
    </row>
    <row r="43" spans="1:16" x14ac:dyDescent="0.25">
      <c r="B43" s="7" t="s">
        <v>14</v>
      </c>
      <c r="C43" s="31">
        <f t="shared" ref="C43:M43" si="9">+C7+C29-C40</f>
        <v>24082727</v>
      </c>
      <c r="D43" s="31">
        <f t="shared" si="9"/>
        <v>41299573.75</v>
      </c>
      <c r="E43" s="31">
        <f t="shared" si="9"/>
        <v>49293657.75</v>
      </c>
      <c r="F43" s="31">
        <f t="shared" si="9"/>
        <v>55298482.75</v>
      </c>
      <c r="G43" s="31">
        <f t="shared" si="9"/>
        <v>68031973</v>
      </c>
      <c r="H43" s="31">
        <f t="shared" si="9"/>
        <v>77134672</v>
      </c>
      <c r="I43" s="31">
        <f t="shared" si="9"/>
        <v>86498255</v>
      </c>
      <c r="J43" s="31">
        <f t="shared" si="9"/>
        <v>303693426</v>
      </c>
      <c r="K43" s="31">
        <f t="shared" si="9"/>
        <v>312373028</v>
      </c>
      <c r="L43" s="31">
        <f t="shared" si="9"/>
        <v>262462765.16000003</v>
      </c>
      <c r="M43" s="31">
        <f t="shared" si="9"/>
        <v>360211024</v>
      </c>
      <c r="N43" s="31">
        <f>+N7+N29-N40</f>
        <v>8381628</v>
      </c>
      <c r="O43" s="32">
        <f>+O7+O29-O40</f>
        <v>8381627.9099999666</v>
      </c>
    </row>
    <row r="44" spans="1:16" x14ac:dyDescent="0.25">
      <c r="A44" s="2" t="s">
        <v>40</v>
      </c>
      <c r="B44" s="3"/>
      <c r="C44" s="33">
        <f>SUM(C43:C43)</f>
        <v>24082727</v>
      </c>
      <c r="D44" s="33">
        <f t="shared" ref="D44:K44" si="10">SUM(D43:D43)</f>
        <v>41299573.75</v>
      </c>
      <c r="E44" s="30">
        <f>SUM(E43:E43)</f>
        <v>49293657.75</v>
      </c>
      <c r="F44" s="33">
        <f t="shared" si="10"/>
        <v>55298482.75</v>
      </c>
      <c r="G44" s="30">
        <f t="shared" si="10"/>
        <v>68031973</v>
      </c>
      <c r="H44" s="30">
        <f t="shared" si="10"/>
        <v>77134672</v>
      </c>
      <c r="I44" s="33">
        <f>SUM(I43:I43)</f>
        <v>86498255</v>
      </c>
      <c r="J44" s="30">
        <f t="shared" si="10"/>
        <v>303693426</v>
      </c>
      <c r="K44" s="30">
        <f t="shared" si="10"/>
        <v>312373028</v>
      </c>
      <c r="L44" s="33">
        <f>SUM(L43:L43)</f>
        <v>262462765.16000003</v>
      </c>
      <c r="M44" s="33">
        <f>SUM(M43:M43)</f>
        <v>360211024</v>
      </c>
      <c r="N44" s="33">
        <f>SUM(N43:N43)</f>
        <v>8381628</v>
      </c>
      <c r="O44" s="30">
        <f>SUM(O43:O43)</f>
        <v>8381627.9099999666</v>
      </c>
    </row>
    <row r="45" spans="1:16" x14ac:dyDescent="0.25">
      <c r="A45" s="75"/>
      <c r="B45" s="76" t="s">
        <v>41</v>
      </c>
      <c r="C45" s="71">
        <f>-1363117+C31+C34</f>
        <v>-1363117</v>
      </c>
      <c r="D45" s="71">
        <f t="shared" ref="D45:I45" si="11">C45+D31+D34</f>
        <v>-1299217</v>
      </c>
      <c r="E45" s="71">
        <f>D45+E31+E34</f>
        <v>-1231439</v>
      </c>
      <c r="F45" s="71">
        <f>E45+F31+F34</f>
        <v>-1231439</v>
      </c>
      <c r="G45" s="71">
        <f t="shared" si="11"/>
        <v>-1231439</v>
      </c>
      <c r="H45" s="71">
        <f>G45+H31+H34</f>
        <v>-1231439</v>
      </c>
      <c r="I45" s="71">
        <f t="shared" si="11"/>
        <v>-1231439</v>
      </c>
      <c r="J45" s="71">
        <f>I45+J31+J34</f>
        <v>-1231439</v>
      </c>
      <c r="K45" s="71">
        <f>J45+K31+K34</f>
        <v>-1231439</v>
      </c>
      <c r="L45" s="71">
        <f>K45+L31+L34</f>
        <v>-1231439</v>
      </c>
      <c r="M45" s="71">
        <f>L45+M31+M34</f>
        <v>-1231439</v>
      </c>
      <c r="N45" s="71">
        <f>M45+N31+N34</f>
        <v>-1231439</v>
      </c>
      <c r="O45" s="71">
        <f>IF(N45&lt;0,N45,IF(M45&lt;0,M45,IF(L45&lt;0,L45,IF(K45&lt;0,K45,IF(J45&lt;0,J45,IF(G45&lt;0,G45,IF(I45&lt;0,I45,IF(H45&lt;0,H45,IF(F45&lt;0,F45,IF(E45&lt;0,E45,IF(D45&lt;0,D45,IF(C45&lt;0,C45,0))))))))))))</f>
        <v>-1231439</v>
      </c>
    </row>
    <row r="46" spans="1:16" x14ac:dyDescent="0.25">
      <c r="A46" s="26"/>
      <c r="B46" s="63" t="s">
        <v>63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>
        <f>-M17</f>
        <v>-15173</v>
      </c>
      <c r="N46" s="71">
        <f>-32352.58-3015.22-14579.2-41495.97+M46</f>
        <v>-106615.97</v>
      </c>
      <c r="O46" s="71">
        <f>IF(N46&lt;0,N46,IF(M46&lt;0,M46,IF(L46&lt;0,L46,IF(K46&lt;0,K46,IF(J46&lt;0,J46,IF(G46&lt;0,G46,IF(I46&lt;0,I46,IF(H46&lt;0,H46,IF(F46&lt;0,F46,IF(E46&lt;0,E46,IF(D46&lt;0,D46,IF(C46&lt;0,C46,0))))))))))))</f>
        <v>-106615.97</v>
      </c>
    </row>
    <row r="47" spans="1:16" ht="16.5" thickBot="1" x14ac:dyDescent="0.3">
      <c r="A47" s="2" t="s">
        <v>42</v>
      </c>
      <c r="B47" s="3"/>
      <c r="C47" s="23">
        <f>SUM(C44:C46)</f>
        <v>22719610</v>
      </c>
      <c r="D47" s="23">
        <f>SUM(D44:D46)</f>
        <v>40000356.75</v>
      </c>
      <c r="E47" s="23">
        <f t="shared" ref="E47:L47" si="12">SUM(E44:E46)</f>
        <v>48062218.75</v>
      </c>
      <c r="F47" s="23">
        <f t="shared" si="12"/>
        <v>54067043.75</v>
      </c>
      <c r="G47" s="23">
        <f t="shared" si="12"/>
        <v>66800534</v>
      </c>
      <c r="H47" s="23">
        <f t="shared" si="12"/>
        <v>75903233</v>
      </c>
      <c r="I47" s="23">
        <f t="shared" si="12"/>
        <v>85266816</v>
      </c>
      <c r="J47" s="23">
        <f t="shared" si="12"/>
        <v>302461987</v>
      </c>
      <c r="K47" s="23">
        <f t="shared" si="12"/>
        <v>311141589</v>
      </c>
      <c r="L47" s="23">
        <f t="shared" si="12"/>
        <v>261231326.16000003</v>
      </c>
      <c r="M47" s="23">
        <f>SUM(M44:M46)</f>
        <v>358964412</v>
      </c>
      <c r="N47" s="23">
        <f>SUM(N44:N46)</f>
        <v>7043573.0300000003</v>
      </c>
      <c r="O47" s="23">
        <f>SUM(O44:O46)</f>
        <v>7043572.9399999669</v>
      </c>
    </row>
    <row r="48" spans="1:16" ht="16.5" thickTop="1" x14ac:dyDescent="0.25">
      <c r="A48" s="2"/>
      <c r="B48" s="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46" customFormat="1" x14ac:dyDescent="0.25">
      <c r="A49" s="2"/>
      <c r="B49" s="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idden="1" x14ac:dyDescent="0.25">
      <c r="A50" s="77" t="s">
        <v>64</v>
      </c>
      <c r="B50" s="41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5" x14ac:dyDescent="0.25">
      <c r="B51" s="42"/>
      <c r="C51" s="21"/>
      <c r="D51" s="21"/>
      <c r="E51" s="9"/>
      <c r="F51" s="47"/>
      <c r="G51" s="9"/>
      <c r="H51" s="9"/>
      <c r="I51" s="38"/>
      <c r="J51" s="9"/>
      <c r="K51" s="9"/>
      <c r="L51" s="9"/>
      <c r="M51" s="9"/>
      <c r="N51" s="9"/>
      <c r="O51" s="9"/>
    </row>
    <row r="52" spans="1:15" x14ac:dyDescent="0.25">
      <c r="A52" s="2" t="s">
        <v>0</v>
      </c>
      <c r="B52" s="3"/>
      <c r="C52" s="27"/>
      <c r="D52" s="27"/>
      <c r="E52" s="3"/>
      <c r="F52" s="44"/>
      <c r="G52" s="11"/>
      <c r="H52" s="3"/>
      <c r="I52" s="3"/>
      <c r="J52" s="12"/>
      <c r="K52" s="3"/>
      <c r="L52" s="3"/>
      <c r="M52" s="3"/>
      <c r="N52" s="3"/>
      <c r="O52" s="3"/>
    </row>
    <row r="53" spans="1:15" x14ac:dyDescent="0.25">
      <c r="A53" s="7" t="s">
        <v>61</v>
      </c>
      <c r="B53" s="3"/>
      <c r="C53" s="29"/>
      <c r="D53" s="27"/>
      <c r="E53" s="3"/>
      <c r="F53" s="27"/>
      <c r="G53" s="11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28" t="s">
        <v>1</v>
      </c>
      <c r="D54" s="28" t="s">
        <v>2</v>
      </c>
      <c r="E54" s="6" t="s">
        <v>3</v>
      </c>
      <c r="F54" s="28" t="s">
        <v>4</v>
      </c>
      <c r="G54" s="13" t="s">
        <v>5</v>
      </c>
      <c r="H54" s="4" t="s">
        <v>6</v>
      </c>
      <c r="I54" s="6" t="s">
        <v>7</v>
      </c>
      <c r="J54" s="6" t="s">
        <v>8</v>
      </c>
      <c r="K54" s="4" t="s">
        <v>9</v>
      </c>
      <c r="L54" s="6" t="s">
        <v>10</v>
      </c>
      <c r="M54" s="6" t="s">
        <v>11</v>
      </c>
      <c r="N54" s="6" t="s">
        <v>65</v>
      </c>
      <c r="O54" s="4"/>
    </row>
    <row r="55" spans="1:15" x14ac:dyDescent="0.25">
      <c r="A55" s="7" t="s">
        <v>43</v>
      </c>
      <c r="B55" s="3"/>
      <c r="C55" s="20"/>
      <c r="D55" s="20"/>
      <c r="E55" s="5"/>
      <c r="F55" s="20"/>
      <c r="G55" s="11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B56" s="7" t="s">
        <v>44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f>+M60</f>
        <v>0</v>
      </c>
      <c r="O56" s="22"/>
    </row>
    <row r="57" spans="1:15" x14ac:dyDescent="0.25">
      <c r="B57" s="7" t="s">
        <v>35</v>
      </c>
      <c r="C57" s="33">
        <f>+C34</f>
        <v>0</v>
      </c>
      <c r="D57" s="33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f>+N34</f>
        <v>0</v>
      </c>
      <c r="O57" s="8"/>
    </row>
    <row r="58" spans="1:15" x14ac:dyDescent="0.25">
      <c r="B58" s="2" t="s">
        <v>57</v>
      </c>
      <c r="C58" s="33">
        <v>0</v>
      </c>
      <c r="D58" s="33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8"/>
    </row>
    <row r="59" spans="1:15" x14ac:dyDescent="0.25">
      <c r="B59" s="7" t="s">
        <v>56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8"/>
    </row>
    <row r="60" spans="1:15" ht="16.5" thickBot="1" x14ac:dyDescent="0.3">
      <c r="B60" s="7" t="s">
        <v>45</v>
      </c>
      <c r="C60" s="23">
        <f t="shared" ref="C60:N60" si="13">SUM(C56:C59)</f>
        <v>0</v>
      </c>
      <c r="D60" s="23">
        <f t="shared" si="13"/>
        <v>0</v>
      </c>
      <c r="E60" s="23">
        <f t="shared" si="13"/>
        <v>0</v>
      </c>
      <c r="F60" s="23">
        <f t="shared" si="13"/>
        <v>0</v>
      </c>
      <c r="G60" s="23">
        <f t="shared" si="13"/>
        <v>0</v>
      </c>
      <c r="H60" s="23">
        <f t="shared" si="13"/>
        <v>0</v>
      </c>
      <c r="I60" s="23">
        <f>SUM(I56:I59)</f>
        <v>0</v>
      </c>
      <c r="J60" s="23">
        <f t="shared" si="13"/>
        <v>0</v>
      </c>
      <c r="K60" s="23">
        <f t="shared" si="13"/>
        <v>0</v>
      </c>
      <c r="L60" s="23">
        <f t="shared" si="13"/>
        <v>0</v>
      </c>
      <c r="M60" s="23">
        <f t="shared" si="13"/>
        <v>0</v>
      </c>
      <c r="N60" s="23">
        <f t="shared" si="13"/>
        <v>0</v>
      </c>
      <c r="O60" s="25"/>
    </row>
    <row r="61" spans="1:15" ht="16.5" thickTop="1" x14ac:dyDescent="0.25">
      <c r="B61" s="7"/>
      <c r="C61" s="21"/>
      <c r="D61" s="21"/>
      <c r="E61" s="9"/>
      <c r="F61" s="21"/>
      <c r="G61" s="9"/>
      <c r="H61" s="51"/>
      <c r="I61" s="19"/>
      <c r="J61" s="19"/>
      <c r="K61" s="19"/>
      <c r="L61" s="19"/>
      <c r="M61" s="19"/>
      <c r="N61" s="19"/>
      <c r="O61" s="9"/>
    </row>
    <row r="62" spans="1:15" x14ac:dyDescent="0.25">
      <c r="A62" s="7" t="s">
        <v>58</v>
      </c>
      <c r="B62" s="3"/>
      <c r="C62" s="20"/>
      <c r="D62" s="20"/>
      <c r="E62" s="5"/>
      <c r="F62" s="20"/>
      <c r="G62" s="11"/>
      <c r="I62" s="12"/>
      <c r="J62" s="5"/>
      <c r="K62" s="5"/>
      <c r="L62" s="5"/>
      <c r="M62" s="5"/>
      <c r="N62" s="5"/>
      <c r="O62" s="8"/>
    </row>
    <row r="63" spans="1:15" x14ac:dyDescent="0.25">
      <c r="A63" s="3"/>
      <c r="B63" s="7" t="s">
        <v>52</v>
      </c>
      <c r="C63" s="22">
        <v>148954264.41</v>
      </c>
      <c r="D63" s="22">
        <v>140277909</v>
      </c>
      <c r="E63" s="22">
        <v>138916315.19999999</v>
      </c>
      <c r="F63" s="22">
        <v>137326969</v>
      </c>
      <c r="G63" s="22">
        <v>132099326</v>
      </c>
      <c r="H63" s="22">
        <v>129468742.28</v>
      </c>
      <c r="I63" s="22">
        <v>127709715.61</v>
      </c>
      <c r="J63" s="22">
        <v>127331592</v>
      </c>
      <c r="K63" s="22">
        <v>126338436</v>
      </c>
      <c r="L63" s="22">
        <v>125019884</v>
      </c>
      <c r="M63" s="22">
        <v>124507384</v>
      </c>
      <c r="N63" s="33">
        <v>123424882.86</v>
      </c>
      <c r="O63" s="8"/>
    </row>
    <row r="64" spans="1:15" x14ac:dyDescent="0.25">
      <c r="A64" s="3"/>
      <c r="B64" s="7" t="s">
        <v>53</v>
      </c>
      <c r="C64" s="54">
        <v>5000000</v>
      </c>
      <c r="D64" s="33">
        <v>5000000</v>
      </c>
      <c r="E64" s="33">
        <v>5000000</v>
      </c>
      <c r="F64" s="33">
        <v>5000000</v>
      </c>
      <c r="G64" s="33">
        <v>5000000</v>
      </c>
      <c r="H64" s="33">
        <v>5000000</v>
      </c>
      <c r="I64" s="33">
        <v>4625000</v>
      </c>
      <c r="J64" s="33">
        <v>4625000</v>
      </c>
      <c r="K64" s="33">
        <v>4375000</v>
      </c>
      <c r="L64" s="33">
        <v>4375000</v>
      </c>
      <c r="M64" s="33">
        <v>4375000</v>
      </c>
      <c r="N64" s="33">
        <v>4375000</v>
      </c>
      <c r="O64" s="8"/>
    </row>
    <row r="65" spans="1:15" ht="16.5" thickBot="1" x14ac:dyDescent="0.3">
      <c r="A65" s="3"/>
      <c r="B65" s="7" t="s">
        <v>54</v>
      </c>
      <c r="C65" s="49">
        <f>SUM(C61:C64)</f>
        <v>153954264.41</v>
      </c>
      <c r="D65" s="23">
        <f t="shared" ref="D65:L65" si="14">SUM(D61:D64)</f>
        <v>145277909</v>
      </c>
      <c r="E65" s="49">
        <f>SUM(E61:E64)</f>
        <v>143916315.19999999</v>
      </c>
      <c r="F65" s="23">
        <f t="shared" si="14"/>
        <v>142326969</v>
      </c>
      <c r="G65" s="23">
        <f t="shared" si="14"/>
        <v>137099326</v>
      </c>
      <c r="H65" s="23">
        <f>SUM(H61:H64)</f>
        <v>134468742.28</v>
      </c>
      <c r="I65" s="23">
        <f t="shared" si="14"/>
        <v>132334715.61</v>
      </c>
      <c r="J65" s="23">
        <f t="shared" si="14"/>
        <v>131956592</v>
      </c>
      <c r="K65" s="23">
        <f t="shared" si="14"/>
        <v>130713436</v>
      </c>
      <c r="L65" s="23">
        <f t="shared" si="14"/>
        <v>129394884</v>
      </c>
      <c r="M65" s="23">
        <f>SUM(M61:M64)</f>
        <v>128882384</v>
      </c>
      <c r="N65" s="23">
        <f>SUM(N61:N64)</f>
        <v>127799882.86</v>
      </c>
      <c r="O65" s="8"/>
    </row>
    <row r="66" spans="1:15" ht="16.5" thickTop="1" x14ac:dyDescent="0.25">
      <c r="A66" s="3"/>
      <c r="B66" s="7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8"/>
    </row>
    <row r="67" spans="1:15" x14ac:dyDescent="0.25">
      <c r="A67" s="77"/>
      <c r="B67" s="3"/>
      <c r="C67" s="20"/>
      <c r="D67" s="20"/>
      <c r="E67" s="5"/>
      <c r="F67" s="20"/>
      <c r="G67" s="11"/>
      <c r="I67" s="12"/>
      <c r="J67" s="5"/>
      <c r="K67" s="5"/>
      <c r="L67" s="5"/>
      <c r="M67" s="5"/>
      <c r="N67" s="5"/>
      <c r="O67" s="8"/>
    </row>
    <row r="68" spans="1:15" x14ac:dyDescent="0.25">
      <c r="B68" s="56" t="s">
        <v>55</v>
      </c>
      <c r="C68" s="55">
        <f>ROUNDDOWN(+C63+C18+C64+C59-153891597-5000000,0)</f>
        <v>0</v>
      </c>
      <c r="D68" s="55">
        <f t="shared" ref="D68:M68" si="15">ROUNDDOWN(+D63+D18+D64+D59-C63-C64,0)</f>
        <v>0</v>
      </c>
      <c r="E68" s="55">
        <f t="shared" si="15"/>
        <v>0</v>
      </c>
      <c r="F68" s="55">
        <f t="shared" si="15"/>
        <v>0</v>
      </c>
      <c r="G68" s="55">
        <f t="shared" si="15"/>
        <v>0</v>
      </c>
      <c r="H68" s="55">
        <f t="shared" si="15"/>
        <v>0</v>
      </c>
      <c r="I68" s="55">
        <f t="shared" si="15"/>
        <v>0</v>
      </c>
      <c r="J68" s="55">
        <f t="shared" si="15"/>
        <v>0</v>
      </c>
      <c r="K68" s="55">
        <f t="shared" si="15"/>
        <v>0</v>
      </c>
      <c r="L68" s="55">
        <f t="shared" si="15"/>
        <v>0</v>
      </c>
      <c r="M68" s="55">
        <f t="shared" si="15"/>
        <v>0</v>
      </c>
      <c r="N68" s="55">
        <f>ROUNDDOWN(+N63+N18+N64+N59-M63-M64,0)</f>
        <v>0</v>
      </c>
      <c r="O68" s="1"/>
    </row>
    <row r="69" spans="1:15" x14ac:dyDescent="0.25">
      <c r="A69" s="2"/>
      <c r="C69" s="8"/>
      <c r="D69" s="43"/>
      <c r="E69" s="1"/>
      <c r="F69" s="43"/>
      <c r="H69" s="1"/>
      <c r="I69" s="1"/>
      <c r="J69" s="39"/>
      <c r="K69" s="39"/>
      <c r="L69" s="39"/>
      <c r="M69" s="1"/>
      <c r="N69" s="39"/>
      <c r="O69" s="1"/>
    </row>
    <row r="70" spans="1:15" x14ac:dyDescent="0.25">
      <c r="C70" s="8"/>
      <c r="D70" s="43"/>
      <c r="E70" s="1"/>
      <c r="F70" s="43"/>
      <c r="H70" s="1"/>
      <c r="I70" s="1"/>
      <c r="J70" s="43"/>
      <c r="K70" s="1"/>
      <c r="L70" s="1"/>
      <c r="M70" s="1"/>
      <c r="N70" s="30"/>
      <c r="O70" s="1"/>
    </row>
    <row r="71" spans="1:15" x14ac:dyDescent="0.25">
      <c r="C71" s="8"/>
      <c r="D71" s="43"/>
      <c r="E71" s="1"/>
      <c r="F71" s="43"/>
      <c r="H71" s="1"/>
      <c r="I71" s="1"/>
      <c r="J71" s="1"/>
      <c r="K71" s="1"/>
      <c r="L71" s="1"/>
      <c r="M71" s="1"/>
      <c r="N71" s="30"/>
      <c r="O71" s="1"/>
    </row>
    <row r="72" spans="1:15" x14ac:dyDescent="0.25">
      <c r="C72" s="8"/>
      <c r="D72" s="43"/>
      <c r="E72" s="1"/>
      <c r="F72" s="43"/>
      <c r="H72" s="1"/>
      <c r="I72" s="1"/>
      <c r="J72" s="1"/>
      <c r="K72" s="1"/>
      <c r="L72" s="1"/>
      <c r="M72" s="1"/>
      <c r="N72" s="30"/>
      <c r="O72" s="1"/>
    </row>
    <row r="73" spans="1:15" x14ac:dyDescent="0.25">
      <c r="C73" s="8"/>
      <c r="D73" s="43"/>
      <c r="E73" s="1"/>
      <c r="F73" s="43"/>
      <c r="H73" s="1"/>
      <c r="I73" s="1"/>
      <c r="J73" s="1"/>
      <c r="K73" s="1"/>
      <c r="L73" s="1"/>
      <c r="M73" s="1"/>
      <c r="N73" s="30"/>
      <c r="O73" s="1"/>
    </row>
    <row r="74" spans="1:15" x14ac:dyDescent="0.25">
      <c r="C74" s="8"/>
    </row>
    <row r="75" spans="1:15" x14ac:dyDescent="0.25">
      <c r="C75" s="8"/>
    </row>
    <row r="76" spans="1:15" x14ac:dyDescent="0.25">
      <c r="C76" s="8"/>
    </row>
  </sheetData>
  <phoneticPr fontId="3" type="noConversion"/>
  <printOptions gridLinesSet="0"/>
  <pageMargins left="0" right="0" top="0.75" bottom="0.43" header="0" footer="0.17"/>
  <pageSetup scale="68" fitToWidth="0" fitToHeight="0" orientation="landscape" r:id="rId1"/>
  <headerFooter alignWithMargins="0">
    <oddFooter>&amp;R&amp;"CG Times,Regular"&amp;8&amp;D 
 &amp;F</oddFooter>
  </headerFooter>
  <rowBreaks count="1" manualBreakCount="1">
    <brk id="5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lit 2015</vt:lpstr>
      <vt:lpstr>'lit 2015'!Print_Area</vt:lpstr>
      <vt:lpstr>Print_Area_MI</vt:lpstr>
      <vt:lpstr>'lit 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 ACCOUNTING, OPERATIONS DI</dc:creator>
  <cp:lastModifiedBy>Lanza, Edward (DOE)</cp:lastModifiedBy>
  <cp:lastPrinted>2015-07-28T20:21:01Z</cp:lastPrinted>
  <dcterms:created xsi:type="dcterms:W3CDTF">1997-08-15T18:05:00Z</dcterms:created>
  <dcterms:modified xsi:type="dcterms:W3CDTF">2016-03-08T19:11:14Z</dcterms:modified>
</cp:coreProperties>
</file>