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ECT AID\ASR\ASR Tables\2024-2025 ASR Tables\Table 10 Literary Fund\"/>
    </mc:Choice>
  </mc:AlternateContent>
  <xr:revisionPtr revIDLastSave="0" documentId="13_ncr:1_{7ACCA666-0976-4A2F-AE9D-620E7419E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0" sheetId="3" r:id="rId1"/>
  </sheets>
  <definedNames>
    <definedName name="_xlnm.Print_Area" localSheetId="0">'Table 10'!$A$2:$O$64</definedName>
    <definedName name="Print_Area_MI" localSheetId="0">'Table 10'!$A$2:$O$63</definedName>
    <definedName name="Print_Area_MI">#REF!</definedName>
    <definedName name="_xlnm.Print_Titles" localSheetId="0">'Table 10'!$A:$B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3" l="1"/>
  <c r="O38" i="3" l="1"/>
  <c r="O24" i="3"/>
  <c r="N40" i="3" l="1"/>
  <c r="O15" i="3"/>
  <c r="O46" i="3" l="1"/>
  <c r="O16" i="3"/>
  <c r="O21" i="3"/>
  <c r="O11" i="3"/>
  <c r="O14" i="3" l="1"/>
  <c r="O13" i="3"/>
  <c r="O12" i="3"/>
  <c r="N28" i="3" l="1"/>
  <c r="M28" i="3"/>
  <c r="L28" i="3"/>
  <c r="K28" i="3"/>
  <c r="J28" i="3"/>
  <c r="I28" i="3"/>
  <c r="H28" i="3"/>
  <c r="G28" i="3"/>
  <c r="F28" i="3"/>
  <c r="E28" i="3"/>
  <c r="D28" i="3"/>
  <c r="C28" i="3"/>
  <c r="O27" i="3"/>
  <c r="O26" i="3"/>
  <c r="O25" i="3"/>
  <c r="O23" i="3"/>
  <c r="O22" i="3"/>
  <c r="O20" i="3"/>
  <c r="O19" i="3"/>
  <c r="O18" i="3"/>
  <c r="O17" i="3"/>
  <c r="O10" i="3"/>
  <c r="O28" i="3" l="1"/>
  <c r="E57" i="3"/>
  <c r="F57" i="3"/>
  <c r="G57" i="3"/>
  <c r="H57" i="3"/>
  <c r="I57" i="3"/>
  <c r="J57" i="3"/>
  <c r="K57" i="3"/>
  <c r="L57" i="3"/>
  <c r="M57" i="3"/>
  <c r="D57" i="3"/>
  <c r="A50" i="3" l="1"/>
  <c r="N64" i="3"/>
  <c r="M64" i="3"/>
  <c r="L64" i="3"/>
  <c r="J64" i="3"/>
  <c r="H64" i="3"/>
  <c r="G64" i="3"/>
  <c r="F64" i="3"/>
  <c r="E64" i="3"/>
  <c r="D64" i="3"/>
  <c r="C64" i="3"/>
  <c r="N61" i="3"/>
  <c r="M61" i="3"/>
  <c r="L61" i="3"/>
  <c r="K61" i="3"/>
  <c r="J61" i="3"/>
  <c r="I61" i="3"/>
  <c r="H61" i="3"/>
  <c r="G61" i="3"/>
  <c r="F61" i="3"/>
  <c r="E61" i="3"/>
  <c r="D61" i="3"/>
  <c r="C61" i="3"/>
  <c r="C57" i="3"/>
  <c r="O47" i="3"/>
  <c r="X45" i="3"/>
  <c r="Z44" i="3"/>
  <c r="Y44" i="3"/>
  <c r="X41" i="3"/>
  <c r="N41" i="3"/>
  <c r="M41" i="3"/>
  <c r="L41" i="3"/>
  <c r="K41" i="3"/>
  <c r="J41" i="3"/>
  <c r="I41" i="3"/>
  <c r="H41" i="3"/>
  <c r="G41" i="3"/>
  <c r="F41" i="3"/>
  <c r="E41" i="3"/>
  <c r="D41" i="3"/>
  <c r="C41" i="3"/>
  <c r="M40" i="3"/>
  <c r="L40" i="3"/>
  <c r="K40" i="3"/>
  <c r="J40" i="3"/>
  <c r="I40" i="3"/>
  <c r="H40" i="3"/>
  <c r="G40" i="3"/>
  <c r="F40" i="3"/>
  <c r="E40" i="3"/>
  <c r="D40" i="3"/>
  <c r="C40" i="3"/>
  <c r="S39" i="3"/>
  <c r="O39" i="3"/>
  <c r="S37" i="3"/>
  <c r="O37" i="3"/>
  <c r="S36" i="3"/>
  <c r="O36" i="3"/>
  <c r="X35" i="3"/>
  <c r="S35" i="3" s="1"/>
  <c r="Q25" i="3" s="1"/>
  <c r="S34" i="3"/>
  <c r="O34" i="3"/>
  <c r="S33" i="3"/>
  <c r="O33" i="3"/>
  <c r="S32" i="3"/>
  <c r="Q24" i="3" s="1"/>
  <c r="S31" i="3"/>
  <c r="O31" i="3"/>
  <c r="S30" i="3"/>
  <c r="S29" i="3"/>
  <c r="N29" i="3"/>
  <c r="M29" i="3"/>
  <c r="J29" i="3"/>
  <c r="H29" i="3"/>
  <c r="G29" i="3"/>
  <c r="E29" i="3"/>
  <c r="D29" i="3"/>
  <c r="C29" i="3"/>
  <c r="X28" i="3"/>
  <c r="S28" i="3" s="1"/>
  <c r="S27" i="3"/>
  <c r="S26" i="3"/>
  <c r="X25" i="3"/>
  <c r="S25" i="3" s="1"/>
  <c r="S24" i="3"/>
  <c r="S23" i="3"/>
  <c r="S22" i="3"/>
  <c r="L29" i="3"/>
  <c r="F29" i="3"/>
  <c r="S21" i="3"/>
  <c r="S20" i="3"/>
  <c r="X19" i="3"/>
  <c r="S19" i="3" s="1"/>
  <c r="X18" i="3"/>
  <c r="S18" i="3" s="1"/>
  <c r="K64" i="3"/>
  <c r="I64" i="3"/>
  <c r="X17" i="3"/>
  <c r="S17" i="3"/>
  <c r="Q22" i="3" s="1"/>
  <c r="S16" i="3"/>
  <c r="S15" i="3"/>
  <c r="S14" i="3"/>
  <c r="X13" i="3"/>
  <c r="S13" i="3" s="1"/>
  <c r="S12" i="3"/>
  <c r="S11" i="3"/>
  <c r="S10" i="3"/>
  <c r="N7" i="3"/>
  <c r="M7" i="3"/>
  <c r="L7" i="3"/>
  <c r="K7" i="3"/>
  <c r="J7" i="3"/>
  <c r="I7" i="3"/>
  <c r="H7" i="3"/>
  <c r="G7" i="3"/>
  <c r="F7" i="3"/>
  <c r="E7" i="3"/>
  <c r="D7" i="3"/>
  <c r="C7" i="3"/>
  <c r="O7" i="3"/>
  <c r="N57" i="3" l="1"/>
  <c r="H44" i="3"/>
  <c r="H48" i="3" s="1"/>
  <c r="O45" i="3"/>
  <c r="F44" i="3"/>
  <c r="F48" i="3" s="1"/>
  <c r="O41" i="3"/>
  <c r="D44" i="3"/>
  <c r="D48" i="3" s="1"/>
  <c r="E44" i="3"/>
  <c r="E48" i="3" s="1"/>
  <c r="M44" i="3"/>
  <c r="I29" i="3"/>
  <c r="I44" i="3" s="1"/>
  <c r="O40" i="3"/>
  <c r="J44" i="3"/>
  <c r="J48" i="3" s="1"/>
  <c r="N44" i="3"/>
  <c r="K29" i="3"/>
  <c r="K44" i="3" s="1"/>
  <c r="C44" i="3"/>
  <c r="C48" i="3" s="1"/>
  <c r="G44" i="3"/>
  <c r="G48" i="3" s="1"/>
  <c r="S44" i="3"/>
  <c r="S48" i="3" s="1"/>
  <c r="L44" i="3"/>
  <c r="X44" i="3"/>
  <c r="X47" i="3" s="1"/>
  <c r="Q26" i="3" l="1"/>
  <c r="Q28" i="3" s="1"/>
  <c r="K48" i="3"/>
  <c r="I48" i="3"/>
  <c r="L48" i="3"/>
  <c r="N48" i="3"/>
  <c r="M48" i="3"/>
  <c r="O29" i="3"/>
  <c r="O43" i="3" l="1"/>
  <c r="O44" i="3" s="1"/>
  <c r="O48" i="3" s="1"/>
</calcChain>
</file>

<file path=xl/sharedStrings.xml><?xml version="1.0" encoding="utf-8"?>
<sst xmlns="http://schemas.openxmlformats.org/spreadsheetml/2006/main" count="253" uniqueCount="112">
  <si>
    <t>REPORT OF THE LITERARY FUND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</si>
  <si>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</si>
  <si>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</si>
  <si>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</si>
  <si>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</si>
  <si>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</si>
  <si>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</si>
  <si>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</si>
  <si>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</si>
  <si>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</si>
  <si>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</si>
  <si>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</si>
  <si>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TO DATE</t>
  </si>
  <si>
    <t>BEGINNING FUND BALANCE:</t>
  </si>
  <si>
    <t>CASH &amp; INVESTMENTS</t>
  </si>
  <si>
    <t xml:space="preserve">      TOTAL BEGINNING BALANCE</t>
  </si>
  <si>
    <t>RECEIPTS:</t>
  </si>
  <si>
    <t xml:space="preserve">    REVENUES:</t>
  </si>
  <si>
    <t>INTEREST ON INVESTMENTS</t>
  </si>
  <si>
    <t>INVESTMENT FEES</t>
  </si>
  <si>
    <t xml:space="preserve">INTEREST ON UCP BALANCES </t>
  </si>
  <si>
    <t xml:space="preserve">FINES, FEES AND FORFEITURES </t>
  </si>
  <si>
    <t xml:space="preserve">    TRANSFERS FROM VPSA 1987 GENERAL FUND</t>
  </si>
  <si>
    <t xml:space="preserve">    TRANSFERS IN:</t>
  </si>
  <si>
    <t xml:space="preserve">UNCLAIMED PROPERTY </t>
  </si>
  <si>
    <t xml:space="preserve">INTEREST ON FINES, FORFEITURES </t>
  </si>
  <si>
    <t>ESCHEATS</t>
  </si>
  <si>
    <t>UNCLAIMED LOTTERY PRIZES</t>
  </si>
  <si>
    <t>FINES, FEES AND FORFEITURES</t>
  </si>
  <si>
    <t>MISCELLANEOUS</t>
  </si>
  <si>
    <t xml:space="preserve">      TOTAL TRANSFERS</t>
  </si>
  <si>
    <t xml:space="preserve">      TOTAL RECEIPTS</t>
  </si>
  <si>
    <t>DISBURSEMENTS:</t>
  </si>
  <si>
    <t>INTEREST SUBSIDY PROGRAM (GRANTS)</t>
  </si>
  <si>
    <t>EQUIP TECH PMTS/DEBT SERVICE</t>
  </si>
  <si>
    <t>LOAN DISBURSEMENTS</t>
  </si>
  <si>
    <t>TRANSFERS OUT:</t>
  </si>
  <si>
    <t xml:space="preserve">          TOTAL TRANSFERS OUT</t>
  </si>
  <si>
    <t xml:space="preserve">          TOTAL DISBURSEMENTS</t>
  </si>
  <si>
    <t xml:space="preserve">ENDING BALANCE </t>
  </si>
  <si>
    <t>TOTAL BALANCE</t>
  </si>
  <si>
    <t xml:space="preserve">LESS ENCUMBERED FUNDS </t>
  </si>
  <si>
    <t>ENDING FUND BALANCE</t>
  </si>
  <si>
    <t>TEMPORARY LOANS RECEIVABLE</t>
  </si>
  <si>
    <t>LOANS RECEIVABLE - BEGINNING</t>
  </si>
  <si>
    <t xml:space="preserve">    LOANS RECEIVABLE - ENDING</t>
  </si>
  <si>
    <t xml:space="preserve">      TRANFERS TO GENERAL FUND</t>
  </si>
  <si>
    <t xml:space="preserve">      TRANFERS TO VPSA</t>
  </si>
  <si>
    <t xml:space="preserve">      TRANFERS TO DOE (Teacher Retirement)</t>
  </si>
  <si>
    <t>INTEREST ON PERM LITERARY LOANS</t>
  </si>
  <si>
    <t>INTEREST ON TEMP LITERARY LOANS</t>
  </si>
  <si>
    <t xml:space="preserve">    RECEIPT OF LOAN PRINCIPAL PAYMENTS</t>
  </si>
  <si>
    <t>TAX EXEMPT LOANS</t>
  </si>
  <si>
    <t>TAXABLE LOANS</t>
  </si>
  <si>
    <t xml:space="preserve">    TOTAL PERMANENT LOANS RECEIVABLE</t>
  </si>
  <si>
    <t>loan check figure</t>
  </si>
  <si>
    <t>LOANS CONVERTED TO PERMANENT STATUS</t>
  </si>
  <si>
    <t>LOAN PRINCIPAL PAYDOWN</t>
  </si>
  <si>
    <t>PERMANENT LOANS RECEIVABLE</t>
  </si>
  <si>
    <t>VPSA</t>
  </si>
  <si>
    <t>Regulatory Board Application Fees</t>
  </si>
  <si>
    <t>Regulatory Board Monetary Penalty &amp; Late Fees</t>
  </si>
  <si>
    <t>Interest on Literary Fund</t>
  </si>
  <si>
    <t>Interest From Other Sources</t>
  </si>
  <si>
    <t>Fines, Fort, Courts Fees Costs Penalties</t>
  </si>
  <si>
    <t>Processing Fees</t>
  </si>
  <si>
    <t>Criminal History Fee</t>
  </si>
  <si>
    <t>Bad Check Fee</t>
  </si>
  <si>
    <t>Fines Imposed by Industrial Commission</t>
  </si>
  <si>
    <t>Fines Imposed by State Corporation Commission</t>
  </si>
  <si>
    <t>Court Technology Fee</t>
  </si>
  <si>
    <t>Civil Penalties/Charges-Environmental Pollution</t>
  </si>
  <si>
    <t>Pay to Circuit Court Clerks for Commission</t>
  </si>
  <si>
    <t>For Deficiency of Guarantee Dep Agric</t>
  </si>
  <si>
    <t>From Recipients of Commodity Distribution</t>
  </si>
  <si>
    <t>Civil Penalties for Licensure Violations</t>
  </si>
  <si>
    <t>Property Escheated by Appointed Escheater</t>
  </si>
  <si>
    <t>Other Revenue</t>
  </si>
  <si>
    <t>Proceeds From Unclaimed Property</t>
  </si>
  <si>
    <t>Proceeds From Unclaimed Lottery Prizes</t>
  </si>
  <si>
    <t>Miscellaneous Revenues</t>
  </si>
  <si>
    <t>Total</t>
  </si>
  <si>
    <t>Copy this data to CM</t>
  </si>
  <si>
    <t>column and Paste Values</t>
  </si>
  <si>
    <t>Copy this data from the .pdf file sent by DOA (some maniputlation will be necessary)</t>
  </si>
  <si>
    <t>Miscellaneous Licenses, Permits &amp; Fees</t>
  </si>
  <si>
    <t>Private Security Firm Regulatory Fees</t>
  </si>
  <si>
    <t>Interest on DelinquentTaxes</t>
  </si>
  <si>
    <t>Interest- Fines, Forteitures</t>
  </si>
  <si>
    <t>Fines and Forteited Recognizances 2:c21</t>
  </si>
  <si>
    <t>Forteited Property</t>
  </si>
  <si>
    <t>Ref-Expense &amp; Mise Disb Made Prior</t>
  </si>
  <si>
    <t>(Convert .pdf file to recognize text; copy each column separately)</t>
  </si>
  <si>
    <t>(Jun 2nd trf .pdf data)</t>
  </si>
  <si>
    <t>(Jun "true-up" .pdf data)</t>
  </si>
  <si>
    <t>MISCELLANEOUS REVENUE</t>
  </si>
  <si>
    <t>(October .pdf data)</t>
  </si>
  <si>
    <t xml:space="preserve">    DEFERRED REVENUE; FINES</t>
  </si>
  <si>
    <t>LESS DEFERRED REVENUE</t>
  </si>
  <si>
    <t xml:space="preserve">     JUNE </t>
  </si>
  <si>
    <t>Cardinal AGY (222) Payable</t>
  </si>
  <si>
    <t>Cardinal AGY (154) Payable</t>
  </si>
  <si>
    <t>Proceeds From Sale of Surplus</t>
  </si>
  <si>
    <t>Cash transfer in - Non GF BU 22200</t>
  </si>
  <si>
    <t>Cash Transfer In- Non GF BU 99900</t>
  </si>
  <si>
    <t>End of worksheet</t>
  </si>
  <si>
    <t xml:space="preserve">     JUNE</t>
  </si>
  <si>
    <t>no data</t>
  </si>
  <si>
    <t>LESS CASH TO COVER $80,000,000 REQUIREMENT</t>
  </si>
  <si>
    <t xml:space="preserve">      TRANFERS TO DOE (School Construction Fund)</t>
  </si>
  <si>
    <t>FISCAL YEAR 2025</t>
  </si>
  <si>
    <t>This is a table showing the financial activity of the Literary Fund in fiscal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</si>
</sst>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[Red]_(* \(#,##0\);_(* &quot;-&quot;_);_(@_)"/>
    <numFmt numFmtId="165" formatCode="_(* #,##0.00_);[Red]_(* \(#,##0.00\);_(* &quot;-&quot;_);_(@_)"/>
  </numFmts>
  <fonts count="23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theme="0"/>
      <name val="Times New Roman"/>
      <family val="1"/>
    </font>
    <font>
      <b/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10" borderId="11" applyNumberFormat="0" applyFont="0" applyAlignment="0" applyProtection="0"/>
  </cellStyleXfs>
  <cellXfs count="63">
    <xf numFmtId="0" fontId="0" fillId="0" borderId="0" xfId="0"/>
    <xf numFmtId="0" fontId="3" fillId="0" borderId="0" xfId="0" applyFont="1"/>
    <xf numFmtId="164" fontId="3" fillId="0" borderId="0" xfId="1" applyFont="1"/>
    <xf numFmtId="165" fontId="3" fillId="0" borderId="0" xfId="1" applyNumberFormat="1" applyFont="1"/>
    <xf numFmtId="164" fontId="0" fillId="0" borderId="0" xfId="1" applyFont="1"/>
    <xf numFmtId="164" fontId="0" fillId="3" borderId="0" xfId="1" applyFont="1" applyFill="1"/>
    <xf numFmtId="164" fontId="3" fillId="0" borderId="0" xfId="1" applyFont="1" applyFill="1" applyProtection="1"/>
    <xf numFmtId="164" fontId="3" fillId="0" borderId="0" xfId="1" applyFont="1" applyFill="1"/>
    <xf numFmtId="165" fontId="3" fillId="0" borderId="0" xfId="1" applyNumberFormat="1" applyFont="1" applyFill="1"/>
    <xf numFmtId="164" fontId="0" fillId="0" borderId="0" xfId="1" applyFont="1" applyFill="1"/>
    <xf numFmtId="5" fontId="3" fillId="0" borderId="0" xfId="0" applyNumberFormat="1" applyFont="1"/>
    <xf numFmtId="164" fontId="3" fillId="0" borderId="0" xfId="1" quotePrefix="1" applyFont="1" applyFill="1" applyAlignment="1">
      <alignment horizontal="left"/>
    </xf>
    <xf numFmtId="164" fontId="0" fillId="0" borderId="0" xfId="1" quotePrefix="1" applyFont="1" applyFill="1" applyAlignment="1">
      <alignment horizontal="left"/>
    </xf>
    <xf numFmtId="164" fontId="3" fillId="3" borderId="0" xfId="1" applyFont="1" applyFill="1"/>
    <xf numFmtId="37" fontId="3" fillId="0" borderId="0" xfId="0" applyNumberFormat="1" applyFont="1"/>
    <xf numFmtId="37" fontId="3" fillId="0" borderId="0" xfId="0" quotePrefix="1" applyNumberFormat="1" applyFont="1" applyAlignment="1">
      <alignment horizontal="right"/>
    </xf>
    <xf numFmtId="165" fontId="3" fillId="0" borderId="2" xfId="1" applyNumberFormat="1" applyFont="1" applyFill="1" applyBorder="1"/>
    <xf numFmtId="164" fontId="0" fillId="0" borderId="2" xfId="1" applyFont="1" applyFill="1" applyBorder="1"/>
    <xf numFmtId="39" fontId="0" fillId="0" borderId="0" xfId="0" applyNumberFormat="1" applyAlignment="1">
      <alignment horizontal="left"/>
    </xf>
    <xf numFmtId="0" fontId="0" fillId="0" borderId="0" xfId="0" applyProtection="1">
      <protection locked="0" hidden="1"/>
    </xf>
    <xf numFmtId="42" fontId="0" fillId="0" borderId="0" xfId="0" applyNumberFormat="1" applyProtection="1">
      <protection locked="0" hidden="1"/>
    </xf>
    <xf numFmtId="1" fontId="0" fillId="0" borderId="0" xfId="0" applyNumberFormat="1"/>
    <xf numFmtId="164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/>
    <xf numFmtId="164" fontId="0" fillId="0" borderId="0" xfId="1" applyFont="1" applyFill="1" applyProtection="1"/>
    <xf numFmtId="5" fontId="0" fillId="0" borderId="0" xfId="0" applyNumberFormat="1"/>
    <xf numFmtId="5" fontId="0" fillId="0" borderId="0" xfId="0" quotePrefix="1" applyNumberFormat="1" applyAlignment="1">
      <alignment horizontal="left"/>
    </xf>
    <xf numFmtId="42" fontId="0" fillId="0" borderId="1" xfId="0" applyNumberFormat="1" applyBorder="1"/>
    <xf numFmtId="164" fontId="0" fillId="0" borderId="1" xfId="1" applyFont="1" applyFill="1" applyBorder="1" applyProtection="1"/>
    <xf numFmtId="39" fontId="0" fillId="0" borderId="0" xfId="0" quotePrefix="1" applyNumberFormat="1" applyAlignment="1">
      <alignment horizontal="left"/>
    </xf>
    <xf numFmtId="37" fontId="0" fillId="0" borderId="0" xfId="0" applyNumberFormat="1" applyAlignment="1">
      <alignment horizontal="left"/>
    </xf>
    <xf numFmtId="164" fontId="0" fillId="0" borderId="0" xfId="1" quotePrefix="1" applyFont="1" applyFill="1" applyAlignment="1" applyProtection="1">
      <alignment horizontal="right"/>
    </xf>
    <xf numFmtId="164" fontId="0" fillId="0" borderId="0" xfId="1" quotePrefix="1" applyFont="1" applyFill="1" applyBorder="1" applyAlignment="1" applyProtection="1">
      <alignment horizontal="right"/>
    </xf>
    <xf numFmtId="164" fontId="0" fillId="0" borderId="0" xfId="1" applyFont="1" applyFill="1" applyAlignment="1" applyProtection="1">
      <alignment horizontal="right"/>
    </xf>
    <xf numFmtId="164" fontId="0" fillId="0" borderId="0" xfId="1" applyFont="1" applyFill="1" applyBorder="1" applyProtection="1"/>
    <xf numFmtId="164" fontId="0" fillId="0" borderId="3" xfId="1" applyFont="1" applyFill="1" applyBorder="1" applyProtection="1"/>
    <xf numFmtId="37" fontId="0" fillId="0" borderId="0" xfId="0" quotePrefix="1" applyNumberFormat="1" applyAlignment="1">
      <alignment horizontal="left"/>
    </xf>
    <xf numFmtId="42" fontId="0" fillId="0" borderId="2" xfId="0" applyNumberFormat="1" applyBorder="1"/>
    <xf numFmtId="42" fontId="0" fillId="0" borderId="0" xfId="0" applyNumberFormat="1"/>
    <xf numFmtId="0" fontId="0" fillId="0" borderId="0" xfId="0" quotePrefix="1" applyAlignment="1">
      <alignment horizontal="left"/>
    </xf>
    <xf numFmtId="3" fontId="0" fillId="0" borderId="0" xfId="0" applyNumberFormat="1" applyAlignment="1">
      <alignment horizontal="center"/>
    </xf>
    <xf numFmtId="37" fontId="0" fillId="0" borderId="1" xfId="0" applyNumberFormat="1" applyBorder="1"/>
    <xf numFmtId="5" fontId="0" fillId="0" borderId="2" xfId="0" applyNumberFormat="1" applyBorder="1"/>
    <xf numFmtId="3" fontId="0" fillId="0" borderId="0" xfId="0" applyNumberFormat="1"/>
    <xf numFmtId="39" fontId="0" fillId="2" borderId="0" xfId="0" applyNumberFormat="1" applyFill="1" applyAlignment="1">
      <alignment horizontal="left"/>
    </xf>
    <xf numFmtId="165" fontId="0" fillId="2" borderId="0" xfId="1" applyNumberFormat="1" applyFont="1" applyFill="1" applyProtection="1"/>
    <xf numFmtId="37" fontId="0" fillId="0" borderId="0" xfId="0" applyNumberFormat="1" applyAlignment="1">
      <alignment horizontal="right" vertical="top"/>
    </xf>
    <xf numFmtId="39" fontId="21" fillId="0" borderId="0" xfId="0" applyNumberFormat="1" applyFont="1" applyAlignment="1">
      <alignment horizontal="left"/>
    </xf>
    <xf numFmtId="39" fontId="22" fillId="0" borderId="0" xfId="0" quotePrefix="1" applyNumberFormat="1" applyFont="1" applyAlignment="1">
      <alignment horizontal="left"/>
    </xf>
    <xf numFmtId="37" fontId="0" fillId="0" borderId="0" xfId="1" applyNumberFormat="1" applyFont="1" applyFill="1" applyProtection="1"/>
    <xf numFmtId="37" fontId="0" fillId="0" borderId="1" xfId="1" applyNumberFormat="1" applyFont="1" applyFill="1" applyBorder="1" applyProtection="1"/>
    <xf numFmtId="37" fontId="0" fillId="0" borderId="0" xfId="1" applyNumberFormat="1" applyFont="1" applyFill="1" applyBorder="1" applyProtection="1"/>
    <xf numFmtId="37" fontId="0" fillId="0" borderId="3" xfId="1" applyNumberFormat="1" applyFont="1" applyFill="1" applyBorder="1" applyProtection="1"/>
    <xf numFmtId="37" fontId="21" fillId="0" borderId="0" xfId="0" applyNumberFormat="1" applyFont="1"/>
    <xf numFmtId="164" fontId="21" fillId="0" borderId="0" xfId="1" applyFont="1" applyFill="1" applyProtection="1"/>
    <xf numFmtId="0" fontId="21" fillId="0" borderId="0" xfId="0" applyFont="1"/>
    <xf numFmtId="37" fontId="0" fillId="0" borderId="2" xfId="1" applyNumberFormat="1" applyFont="1" applyFill="1" applyBorder="1" applyProtection="1"/>
    <xf numFmtId="0" fontId="21" fillId="0" borderId="0" xfId="0" applyFont="1"/>
    <xf numFmtId="0" fontId="0" fillId="0" borderId="0" xfId="0" applyAlignment="1">
      <alignment horizontal="left"/>
    </xf>
    <xf numFmtId="39" fontId="22" fillId="0" borderId="0" xfId="0" quotePrefix="1" applyNumberFormat="1" applyFont="1" applyAlignment="1">
      <alignment horizontal="lef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3" xr:uid="{00000000-0005-0000-0000-00001C000000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00000000-0005-0000-0000-000027000000}"/>
    <cellStyle name="Normal 3" xfId="42" xr:uid="{00000000-0005-0000-0000-000028000000}"/>
    <cellStyle name="Note 2" xfId="45" xr:uid="{00000000-0005-0000-0000-000029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A72"/>
  <sheetViews>
    <sheetView showGridLines="0" tabSelected="1" zoomScale="80" zoomScaleNormal="80" zoomScaleSheetLayoutView="100" workbookViewId="0">
      <pane xSplit="2" ySplit="4" topLeftCell="C35" activePane="bottomRight" state="frozen"/>
      <selection pane="topRight" activeCell="C1" sqref="C1"/>
      <selection pane="bottomLeft" activeCell="A4" sqref="A4"/>
      <selection pane="bottomRight" sqref="A1:O1"/>
    </sheetView>
  </sheetViews>
  <sheetFormatPr defaultColWidth="13.75" defaultRowHeight="15.75" x14ac:dyDescent="0.25"/>
  <cols>
    <col min="1" max="1" width="4.25" customWidth="1"/>
    <col min="2" max="2" width="45.375" customWidth="1"/>
    <col min="3" max="9" width="13.25" bestFit="1" customWidth="1"/>
    <col min="10" max="10" width="13.375" bestFit="1" customWidth="1"/>
    <col min="11" max="14" width="13.25" bestFit="1" customWidth="1"/>
    <col min="15" max="15" width="14.75" bestFit="1" customWidth="1"/>
    <col min="16" max="16" width="13.75" customWidth="1"/>
    <col min="17" max="17" width="0" style="2" hidden="1" customWidth="1"/>
    <col min="18" max="18" width="0" style="1" hidden="1" customWidth="1"/>
    <col min="19" max="19" width="0" style="3" hidden="1" customWidth="1"/>
    <col min="20" max="20" width="0" style="1" hidden="1" customWidth="1"/>
    <col min="21" max="22" width="0" hidden="1" customWidth="1"/>
    <col min="23" max="23" width="13.75" style="4" hidden="1" customWidth="1"/>
    <col min="24" max="24" width="16" style="5" hidden="1" customWidth="1"/>
    <col min="25" max="25" width="18.875" style="4" hidden="1" customWidth="1"/>
    <col min="26" max="26" width="20.75" style="4" hidden="1" customWidth="1"/>
  </cols>
  <sheetData>
    <row r="1" spans="1:27" ht="9" customHeight="1" x14ac:dyDescent="0.25">
      <c r="A1" s="60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27" x14ac:dyDescent="0.25">
      <c r="A2" s="61" t="s">
        <v>0</v>
      </c>
      <c r="B2" s="61"/>
      <c r="C2" s="19"/>
      <c r="D2" s="20"/>
      <c r="E2" s="20"/>
    </row>
    <row r="3" spans="1:27" x14ac:dyDescent="0.25">
      <c r="A3" s="62" t="s">
        <v>110</v>
      </c>
      <c r="B3" s="62"/>
      <c r="D3" s="21"/>
      <c r="E3" s="21"/>
      <c r="J3" s="22"/>
    </row>
    <row r="4" spans="1:27" x14ac:dyDescent="0.25">
      <c r="C4" s="23" t="s">
        <v>1</v>
      </c>
      <c r="D4" s="23" t="s">
        <v>2</v>
      </c>
      <c r="E4" s="24" t="s">
        <v>3</v>
      </c>
      <c r="F4" s="23" t="s">
        <v>4</v>
      </c>
      <c r="G4" s="25" t="s">
        <v>5</v>
      </c>
      <c r="H4" s="23" t="s">
        <v>6</v>
      </c>
      <c r="I4" s="23" t="s">
        <v>7</v>
      </c>
      <c r="J4" s="23" t="s">
        <v>8</v>
      </c>
      <c r="K4" s="23" t="s">
        <v>9</v>
      </c>
      <c r="L4" s="24" t="s">
        <v>10</v>
      </c>
      <c r="M4" s="24" t="s">
        <v>11</v>
      </c>
      <c r="N4" s="24" t="s">
        <v>106</v>
      </c>
      <c r="O4" s="23" t="s">
        <v>12</v>
      </c>
    </row>
    <row r="5" spans="1:27" x14ac:dyDescent="0.25">
      <c r="A5" s="18" t="s">
        <v>13</v>
      </c>
      <c r="C5" s="56" t="s">
        <v>107</v>
      </c>
      <c r="D5" s="56" t="s">
        <v>107</v>
      </c>
      <c r="E5" s="56" t="s">
        <v>107</v>
      </c>
      <c r="F5" s="56" t="s">
        <v>107</v>
      </c>
      <c r="G5" s="56" t="s">
        <v>107</v>
      </c>
      <c r="H5" s="56" t="s">
        <v>107</v>
      </c>
      <c r="I5" s="56" t="s">
        <v>107</v>
      </c>
      <c r="J5" s="56" t="s">
        <v>107</v>
      </c>
      <c r="K5" s="56" t="s">
        <v>107</v>
      </c>
      <c r="L5" s="56" t="s">
        <v>107</v>
      </c>
      <c r="M5" s="56" t="s">
        <v>107</v>
      </c>
      <c r="N5" s="56" t="s">
        <v>107</v>
      </c>
      <c r="O5" s="56" t="s">
        <v>107</v>
      </c>
      <c r="Q5" s="7"/>
      <c r="S5" s="8"/>
      <c r="W5" s="9"/>
      <c r="Y5" s="9"/>
      <c r="Z5" s="9"/>
    </row>
    <row r="6" spans="1:27" s="28" customFormat="1" x14ac:dyDescent="0.25">
      <c r="B6" s="29" t="s">
        <v>14</v>
      </c>
      <c r="C6" s="30">
        <v>696905613</v>
      </c>
      <c r="D6" s="30">
        <v>695118566</v>
      </c>
      <c r="E6" s="30">
        <v>700552960</v>
      </c>
      <c r="F6" s="30">
        <v>706816548</v>
      </c>
      <c r="G6" s="30">
        <v>721386272</v>
      </c>
      <c r="H6" s="30">
        <v>727207417</v>
      </c>
      <c r="I6" s="30">
        <v>732784535</v>
      </c>
      <c r="J6" s="30">
        <v>747873910</v>
      </c>
      <c r="K6" s="30">
        <v>824656517</v>
      </c>
      <c r="L6" s="30">
        <v>828443148</v>
      </c>
      <c r="M6" s="30">
        <v>763766821</v>
      </c>
      <c r="N6" s="30">
        <v>839520981</v>
      </c>
      <c r="O6" s="30">
        <v>696905613</v>
      </c>
      <c r="Q6" s="7"/>
      <c r="R6" s="10"/>
      <c r="S6" s="8"/>
      <c r="T6" s="10"/>
      <c r="W6" s="9"/>
      <c r="X6" s="5"/>
      <c r="Y6" s="9"/>
      <c r="Z6" s="9"/>
    </row>
    <row r="7" spans="1:27" x14ac:dyDescent="0.25">
      <c r="B7" s="18" t="s">
        <v>15</v>
      </c>
      <c r="C7" s="31">
        <f>SUM(C6:C6)</f>
        <v>696905613</v>
      </c>
      <c r="D7" s="31">
        <f>SUM(D6:D6)</f>
        <v>695118566</v>
      </c>
      <c r="E7" s="31">
        <f>SUM(E6:E6)</f>
        <v>700552960</v>
      </c>
      <c r="F7" s="31">
        <f t="shared" ref="F7:N7" si="0">SUM(F6:F6)</f>
        <v>706816548</v>
      </c>
      <c r="G7" s="31">
        <f t="shared" si="0"/>
        <v>721386272</v>
      </c>
      <c r="H7" s="31">
        <f t="shared" si="0"/>
        <v>727207417</v>
      </c>
      <c r="I7" s="31">
        <f t="shared" si="0"/>
        <v>732784535</v>
      </c>
      <c r="J7" s="31">
        <f t="shared" si="0"/>
        <v>747873910</v>
      </c>
      <c r="K7" s="31">
        <f t="shared" si="0"/>
        <v>824656517</v>
      </c>
      <c r="L7" s="31">
        <f t="shared" si="0"/>
        <v>828443148</v>
      </c>
      <c r="M7" s="31">
        <f t="shared" si="0"/>
        <v>763766821</v>
      </c>
      <c r="N7" s="31">
        <f t="shared" si="0"/>
        <v>839520981</v>
      </c>
      <c r="O7" s="31">
        <f>SUM(O6:O6)</f>
        <v>696905613</v>
      </c>
      <c r="Q7" s="7"/>
      <c r="S7" s="8" t="s">
        <v>84</v>
      </c>
      <c r="W7" s="9"/>
      <c r="Y7" s="9"/>
      <c r="Z7" s="9"/>
    </row>
    <row r="8" spans="1:27" x14ac:dyDescent="0.25">
      <c r="A8" s="18" t="s">
        <v>16</v>
      </c>
      <c r="C8" s="56" t="s">
        <v>107</v>
      </c>
      <c r="D8" s="56" t="s">
        <v>107</v>
      </c>
      <c r="E8" s="56" t="s">
        <v>107</v>
      </c>
      <c r="F8" s="56" t="s">
        <v>107</v>
      </c>
      <c r="G8" s="56" t="s">
        <v>107</v>
      </c>
      <c r="H8" s="56" t="s">
        <v>107</v>
      </c>
      <c r="I8" s="56" t="s">
        <v>107</v>
      </c>
      <c r="J8" s="56" t="s">
        <v>107</v>
      </c>
      <c r="K8" s="56" t="s">
        <v>107</v>
      </c>
      <c r="L8" s="56" t="s">
        <v>107</v>
      </c>
      <c r="M8" s="56" t="s">
        <v>107</v>
      </c>
      <c r="N8" s="56" t="s">
        <v>107</v>
      </c>
      <c r="O8" s="56" t="s">
        <v>107</v>
      </c>
      <c r="Q8" s="11" t="s">
        <v>82</v>
      </c>
      <c r="S8" s="8" t="s">
        <v>92</v>
      </c>
      <c r="W8" s="9"/>
      <c r="X8" s="5" t="s">
        <v>96</v>
      </c>
      <c r="Y8" s="12" t="s">
        <v>93</v>
      </c>
      <c r="Z8" s="12" t="s">
        <v>94</v>
      </c>
    </row>
    <row r="9" spans="1:27" x14ac:dyDescent="0.25">
      <c r="A9" s="32" t="s">
        <v>17</v>
      </c>
      <c r="C9" s="56" t="s">
        <v>107</v>
      </c>
      <c r="D9" s="56" t="s">
        <v>107</v>
      </c>
      <c r="E9" s="56" t="s">
        <v>107</v>
      </c>
      <c r="F9" s="56" t="s">
        <v>107</v>
      </c>
      <c r="G9" s="56" t="s">
        <v>107</v>
      </c>
      <c r="H9" s="56" t="s">
        <v>107</v>
      </c>
      <c r="I9" s="56" t="s">
        <v>107</v>
      </c>
      <c r="J9" s="56" t="s">
        <v>107</v>
      </c>
      <c r="K9" s="56" t="s">
        <v>107</v>
      </c>
      <c r="L9" s="56" t="s">
        <v>107</v>
      </c>
      <c r="M9" s="56" t="s">
        <v>107</v>
      </c>
      <c r="N9" s="56" t="s">
        <v>107</v>
      </c>
      <c r="O9" s="56" t="s">
        <v>107</v>
      </c>
      <c r="Q9" s="11" t="s">
        <v>83</v>
      </c>
      <c r="S9" s="8"/>
      <c r="W9" s="9"/>
      <c r="Y9" s="9"/>
      <c r="Z9" s="9"/>
    </row>
    <row r="10" spans="1:27" x14ac:dyDescent="0.25">
      <c r="B10" s="32" t="s">
        <v>50</v>
      </c>
      <c r="C10" s="52">
        <v>0</v>
      </c>
      <c r="D10" s="52"/>
      <c r="E10" s="52"/>
      <c r="F10" s="52"/>
      <c r="G10" s="52"/>
      <c r="H10" s="52"/>
      <c r="I10" s="52">
        <v>0</v>
      </c>
      <c r="J10" s="52"/>
      <c r="K10" s="52"/>
      <c r="L10" s="52"/>
      <c r="M10" s="52">
        <v>420729</v>
      </c>
      <c r="N10" s="52"/>
      <c r="O10" s="52">
        <f t="shared" ref="O10:O16" si="1">SUM(C10:N10)</f>
        <v>420729</v>
      </c>
      <c r="Q10" s="7"/>
      <c r="R10" s="1">
        <v>4002199</v>
      </c>
      <c r="S10" s="8">
        <f>+X10</f>
        <v>0</v>
      </c>
      <c r="T10" s="1" t="s">
        <v>85</v>
      </c>
      <c r="W10" s="9"/>
      <c r="Y10" s="9"/>
      <c r="Z10" s="9"/>
      <c r="AA10" s="22"/>
    </row>
    <row r="11" spans="1:27" x14ac:dyDescent="0.25">
      <c r="B11" s="32" t="s">
        <v>49</v>
      </c>
      <c r="C11" s="52">
        <v>299671</v>
      </c>
      <c r="D11" s="52">
        <v>140100</v>
      </c>
      <c r="E11" s="52"/>
      <c r="F11" s="52"/>
      <c r="G11" s="52">
        <v>301424</v>
      </c>
      <c r="H11" s="52"/>
      <c r="I11" s="52">
        <v>0</v>
      </c>
      <c r="J11" s="52">
        <v>159700</v>
      </c>
      <c r="K11" s="52">
        <v>0</v>
      </c>
      <c r="L11" s="52">
        <v>67348</v>
      </c>
      <c r="M11" s="52"/>
      <c r="N11" s="52"/>
      <c r="O11" s="52">
        <f t="shared" si="1"/>
        <v>968243</v>
      </c>
      <c r="Q11" s="7"/>
      <c r="R11" s="1">
        <v>4002041</v>
      </c>
      <c r="S11" s="8">
        <f t="shared" ref="S11:S36" si="2">+X11</f>
        <v>0</v>
      </c>
      <c r="T11" s="1" t="s">
        <v>60</v>
      </c>
      <c r="W11" s="9"/>
      <c r="Y11" s="9"/>
      <c r="Z11" s="9"/>
      <c r="AA11" s="22"/>
    </row>
    <row r="12" spans="1:27" ht="15" customHeight="1" x14ac:dyDescent="0.25">
      <c r="B12" s="32" t="s">
        <v>18</v>
      </c>
      <c r="C12" s="52">
        <v>0</v>
      </c>
      <c r="D12" s="52"/>
      <c r="E12" s="52"/>
      <c r="F12" s="52">
        <v>7820334</v>
      </c>
      <c r="G12" s="52"/>
      <c r="H12" s="52"/>
      <c r="I12" s="52">
        <v>7970135</v>
      </c>
      <c r="J12" s="52"/>
      <c r="K12" s="52"/>
      <c r="L12" s="52">
        <v>7972586</v>
      </c>
      <c r="M12" s="52"/>
      <c r="N12" s="52">
        <v>7694133</v>
      </c>
      <c r="O12" s="52">
        <f t="shared" si="1"/>
        <v>31457188</v>
      </c>
      <c r="Q12" s="7"/>
      <c r="R12" s="1">
        <v>4002410</v>
      </c>
      <c r="S12" s="8">
        <f t="shared" si="2"/>
        <v>0</v>
      </c>
      <c r="T12" s="1" t="s">
        <v>86</v>
      </c>
      <c r="W12" s="9"/>
      <c r="Y12" s="9"/>
      <c r="Z12" s="9"/>
      <c r="AA12" s="22"/>
    </row>
    <row r="13" spans="1:27" ht="15.75" customHeight="1" x14ac:dyDescent="0.25">
      <c r="B13" s="18" t="s">
        <v>95</v>
      </c>
      <c r="C13" s="52">
        <v>250</v>
      </c>
      <c r="D13" s="52"/>
      <c r="E13" s="52"/>
      <c r="F13" s="52"/>
      <c r="G13" s="52"/>
      <c r="H13" s="52">
        <v>10</v>
      </c>
      <c r="I13" s="52">
        <v>0</v>
      </c>
      <c r="J13" s="52"/>
      <c r="K13" s="52"/>
      <c r="L13" s="52"/>
      <c r="M13" s="52">
        <v>10</v>
      </c>
      <c r="N13" s="52"/>
      <c r="O13" s="52">
        <f t="shared" si="1"/>
        <v>270</v>
      </c>
      <c r="Q13" s="7"/>
      <c r="R13" s="1">
        <v>4002421</v>
      </c>
      <c r="S13" s="8">
        <f>+X13</f>
        <v>89312.76999999999</v>
      </c>
      <c r="T13" s="1" t="s">
        <v>61</v>
      </c>
      <c r="W13" s="9"/>
      <c r="X13" s="5">
        <f>48475+40837.77</f>
        <v>89312.76999999999</v>
      </c>
      <c r="Y13" s="9"/>
      <c r="Z13" s="9"/>
      <c r="AA13" s="22"/>
    </row>
    <row r="14" spans="1:27" x14ac:dyDescent="0.25">
      <c r="B14" s="32" t="s">
        <v>19</v>
      </c>
      <c r="C14" s="52">
        <v>0</v>
      </c>
      <c r="D14" s="52"/>
      <c r="E14" s="52"/>
      <c r="F14" s="52">
        <v>-180854</v>
      </c>
      <c r="G14" s="52"/>
      <c r="H14" s="52"/>
      <c r="I14" s="52">
        <v>-186953</v>
      </c>
      <c r="J14" s="52"/>
      <c r="K14" s="52"/>
      <c r="L14" s="52">
        <v>-195807</v>
      </c>
      <c r="M14" s="52"/>
      <c r="N14" s="52">
        <v>-206070</v>
      </c>
      <c r="O14" s="52">
        <f t="shared" si="1"/>
        <v>-769684</v>
      </c>
      <c r="Q14" s="7"/>
      <c r="R14" s="1">
        <v>4007102</v>
      </c>
      <c r="S14" s="8">
        <f t="shared" si="2"/>
        <v>0</v>
      </c>
      <c r="T14" s="1" t="s">
        <v>87</v>
      </c>
      <c r="W14" s="9"/>
      <c r="Y14" s="9"/>
      <c r="Z14" s="9"/>
      <c r="AA14" s="22"/>
    </row>
    <row r="15" spans="1:27" x14ac:dyDescent="0.25">
      <c r="B15" s="32" t="s">
        <v>20</v>
      </c>
      <c r="C15" s="52">
        <v>0</v>
      </c>
      <c r="D15" s="52"/>
      <c r="E15" s="52"/>
      <c r="F15" s="52">
        <v>2459014</v>
      </c>
      <c r="G15" s="52"/>
      <c r="H15" s="52"/>
      <c r="I15" s="52">
        <v>4145555</v>
      </c>
      <c r="J15" s="52"/>
      <c r="K15" s="52"/>
      <c r="L15" s="52">
        <v>4024401</v>
      </c>
      <c r="M15" s="52"/>
      <c r="N15" s="52">
        <v>3140860</v>
      </c>
      <c r="O15" s="52">
        <f t="shared" si="1"/>
        <v>13769830</v>
      </c>
      <c r="Q15" s="7"/>
      <c r="R15" s="1">
        <v>4007103</v>
      </c>
      <c r="S15" s="8">
        <f t="shared" si="2"/>
        <v>0</v>
      </c>
      <c r="T15" s="1" t="s">
        <v>62</v>
      </c>
      <c r="W15" s="9"/>
      <c r="Y15" s="9"/>
      <c r="Z15" s="9"/>
      <c r="AA15" s="22"/>
    </row>
    <row r="16" spans="1:27" x14ac:dyDescent="0.25">
      <c r="B16" s="32" t="s">
        <v>21</v>
      </c>
      <c r="C16" s="52">
        <v>3909</v>
      </c>
      <c r="D16" s="52">
        <v>8629</v>
      </c>
      <c r="E16" s="52"/>
      <c r="F16" s="52"/>
      <c r="G16" s="52">
        <v>200</v>
      </c>
      <c r="H16" s="52">
        <v>3260</v>
      </c>
      <c r="I16" s="52">
        <v>344</v>
      </c>
      <c r="J16" s="52">
        <v>11900</v>
      </c>
      <c r="K16" s="52"/>
      <c r="L16" s="52">
        <v>6862</v>
      </c>
      <c r="M16" s="52">
        <v>3500</v>
      </c>
      <c r="N16" s="52"/>
      <c r="O16" s="52">
        <f t="shared" si="1"/>
        <v>38604</v>
      </c>
      <c r="Q16" s="7"/>
      <c r="R16" s="1">
        <v>4007108</v>
      </c>
      <c r="S16" s="8">
        <f t="shared" si="2"/>
        <v>0</v>
      </c>
      <c r="T16" s="1" t="s">
        <v>63</v>
      </c>
      <c r="W16" s="9"/>
      <c r="Y16" s="9"/>
      <c r="Z16" s="9"/>
      <c r="AA16" s="22"/>
    </row>
    <row r="17" spans="1:27" x14ac:dyDescent="0.25">
      <c r="A17" s="32" t="s">
        <v>97</v>
      </c>
      <c r="B17" s="3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>
        <f t="shared" ref="O17:O27" si="3">SUM(C17:N17)</f>
        <v>0</v>
      </c>
      <c r="Q17" s="7"/>
      <c r="R17" s="1">
        <v>4007109</v>
      </c>
      <c r="S17" s="8">
        <f>+X17</f>
        <v>1404353.3399999999</v>
      </c>
      <c r="T17" s="1" t="s">
        <v>88</v>
      </c>
      <c r="W17" s="9"/>
      <c r="X17" s="9">
        <f>754917.24+649436.1</f>
        <v>1404353.3399999999</v>
      </c>
      <c r="Y17" s="9"/>
      <c r="Z17" s="9"/>
      <c r="AA17" s="22"/>
    </row>
    <row r="18" spans="1:27" x14ac:dyDescent="0.25">
      <c r="A18" s="32" t="s">
        <v>51</v>
      </c>
      <c r="B18" s="32"/>
      <c r="C18" s="52">
        <v>949018</v>
      </c>
      <c r="D18" s="52">
        <v>184000</v>
      </c>
      <c r="E18" s="52"/>
      <c r="F18" s="52"/>
      <c r="G18" s="52">
        <v>1210948</v>
      </c>
      <c r="H18" s="52"/>
      <c r="I18" s="52">
        <v>0</v>
      </c>
      <c r="J18" s="52">
        <v>500000</v>
      </c>
      <c r="K18" s="52">
        <v>0</v>
      </c>
      <c r="L18" s="52">
        <v>602982</v>
      </c>
      <c r="M18" s="52"/>
      <c r="N18" s="52"/>
      <c r="O18" s="52">
        <f t="shared" si="3"/>
        <v>3446948</v>
      </c>
      <c r="Q18" s="7"/>
      <c r="R18" s="1">
        <v>4008000</v>
      </c>
      <c r="S18" s="8">
        <f>+X18</f>
        <v>1250</v>
      </c>
      <c r="T18" s="1" t="s">
        <v>64</v>
      </c>
      <c r="W18" s="9"/>
      <c r="X18" s="5">
        <f>750+500</f>
        <v>1250</v>
      </c>
      <c r="Y18" s="9"/>
      <c r="Z18" s="9"/>
      <c r="AA18" s="22"/>
    </row>
    <row r="19" spans="1:27" x14ac:dyDescent="0.25">
      <c r="A19" s="32" t="s">
        <v>22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f t="shared" si="3"/>
        <v>0</v>
      </c>
      <c r="Q19" s="7"/>
      <c r="R19" s="1">
        <v>4008110</v>
      </c>
      <c r="S19" s="8">
        <f>+X19</f>
        <v>8405547.6600000001</v>
      </c>
      <c r="T19" s="1" t="s">
        <v>89</v>
      </c>
      <c r="W19" s="9"/>
      <c r="X19" s="5">
        <f>4343103.73+4062443.93</f>
        <v>8405547.6600000001</v>
      </c>
      <c r="Y19" s="9"/>
      <c r="Z19" s="9"/>
      <c r="AA19" s="22"/>
    </row>
    <row r="20" spans="1:27" x14ac:dyDescent="0.25">
      <c r="A20" s="32" t="s">
        <v>23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/>
      <c r="K20" s="56">
        <v>0</v>
      </c>
      <c r="L20" s="56">
        <v>0</v>
      </c>
      <c r="M20" s="56">
        <v>0</v>
      </c>
      <c r="N20" s="56">
        <v>0</v>
      </c>
      <c r="O20" s="56">
        <f t="shared" si="3"/>
        <v>0</v>
      </c>
      <c r="Q20" s="7"/>
      <c r="R20" s="1">
        <v>4008111</v>
      </c>
      <c r="S20" s="8">
        <f>+X20</f>
        <v>2</v>
      </c>
      <c r="T20" s="1" t="s">
        <v>90</v>
      </c>
      <c r="W20" s="9"/>
      <c r="X20" s="5">
        <v>2</v>
      </c>
      <c r="Y20" s="9"/>
      <c r="Z20" s="9"/>
      <c r="AA20" s="22"/>
    </row>
    <row r="21" spans="1:27" x14ac:dyDescent="0.25">
      <c r="B21" s="32" t="s">
        <v>24</v>
      </c>
      <c r="C21" s="52">
        <v>0</v>
      </c>
      <c r="D21" s="52"/>
      <c r="E21" s="52"/>
      <c r="F21" s="52"/>
      <c r="G21" s="52"/>
      <c r="H21" s="52"/>
      <c r="I21" s="52"/>
      <c r="J21" s="52">
        <v>75000000</v>
      </c>
      <c r="K21" s="52"/>
      <c r="L21" s="52"/>
      <c r="M21" s="52">
        <v>75000000</v>
      </c>
      <c r="N21" s="52"/>
      <c r="O21" s="52">
        <f>SUM(C21:N21)</f>
        <v>150000000</v>
      </c>
      <c r="Q21" s="7"/>
      <c r="R21" s="1">
        <v>4008112</v>
      </c>
      <c r="S21" s="8">
        <f t="shared" si="2"/>
        <v>0</v>
      </c>
      <c r="T21" s="1" t="s">
        <v>65</v>
      </c>
      <c r="W21" s="9"/>
      <c r="Y21" s="9"/>
      <c r="Z21" s="9"/>
      <c r="AA21" s="22"/>
    </row>
    <row r="22" spans="1:27" x14ac:dyDescent="0.25">
      <c r="B22" s="32" t="s">
        <v>25</v>
      </c>
      <c r="C22" s="52">
        <v>0</v>
      </c>
      <c r="D22" s="52">
        <v>383041</v>
      </c>
      <c r="E22" s="52">
        <v>332956</v>
      </c>
      <c r="F22" s="52">
        <v>373432</v>
      </c>
      <c r="G22" s="52">
        <v>351721</v>
      </c>
      <c r="H22" s="52">
        <v>303950</v>
      </c>
      <c r="I22" s="52">
        <v>354758</v>
      </c>
      <c r="J22" s="52">
        <v>398277</v>
      </c>
      <c r="K22" s="52">
        <v>370921</v>
      </c>
      <c r="L22" s="52">
        <v>426147</v>
      </c>
      <c r="M22" s="52">
        <v>521460</v>
      </c>
      <c r="N22" s="52">
        <v>943043</v>
      </c>
      <c r="O22" s="52">
        <f t="shared" si="3"/>
        <v>4759706</v>
      </c>
      <c r="Q22" s="13">
        <f>ROUND(SUMIF($R$10:$R$43,4007109,$S$10:$S$43),0)</f>
        <v>1404353</v>
      </c>
      <c r="R22" s="1">
        <v>4008116</v>
      </c>
      <c r="S22" s="8">
        <f>+X22</f>
        <v>0</v>
      </c>
      <c r="T22" s="1" t="s">
        <v>66</v>
      </c>
      <c r="W22" s="9"/>
      <c r="X22" s="5">
        <v>0</v>
      </c>
      <c r="Y22" s="9"/>
      <c r="Z22" s="9"/>
      <c r="AA22" s="22"/>
    </row>
    <row r="23" spans="1:27" x14ac:dyDescent="0.25">
      <c r="B23" s="18" t="s">
        <v>59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f t="shared" si="3"/>
        <v>0</v>
      </c>
      <c r="Q23" s="7"/>
      <c r="R23" s="1">
        <v>4008135</v>
      </c>
      <c r="S23" s="8">
        <f t="shared" si="2"/>
        <v>0</v>
      </c>
      <c r="T23" s="1" t="s">
        <v>67</v>
      </c>
      <c r="W23" s="9"/>
      <c r="Y23" s="9"/>
      <c r="Z23" s="9"/>
      <c r="AA23" s="22"/>
    </row>
    <row r="24" spans="1:27" x14ac:dyDescent="0.25">
      <c r="B24" s="32" t="s">
        <v>26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f t="shared" si="3"/>
        <v>0</v>
      </c>
      <c r="Q24" s="7">
        <f>ROUND(SUMIF($R$10:$R$43,4008402,$S$10:$S$43),0)</f>
        <v>-150</v>
      </c>
      <c r="R24" s="1">
        <v>4008142</v>
      </c>
      <c r="S24" s="8">
        <f t="shared" si="2"/>
        <v>0</v>
      </c>
      <c r="T24" s="1" t="s">
        <v>68</v>
      </c>
      <c r="W24" s="9"/>
      <c r="Y24" s="9"/>
      <c r="Z24" s="9"/>
      <c r="AA24" s="22"/>
    </row>
    <row r="25" spans="1:27" x14ac:dyDescent="0.25">
      <c r="B25" s="32" t="s">
        <v>27</v>
      </c>
      <c r="C25" s="52">
        <v>0</v>
      </c>
      <c r="D25" s="52">
        <v>1045693</v>
      </c>
      <c r="E25" s="52">
        <v>2874803</v>
      </c>
      <c r="F25" s="52">
        <v>1680966</v>
      </c>
      <c r="G25" s="52">
        <v>707147</v>
      </c>
      <c r="H25" s="52">
        <v>2724054</v>
      </c>
      <c r="I25" s="52">
        <v>1321257</v>
      </c>
      <c r="J25" s="52">
        <v>2794879</v>
      </c>
      <c r="K25" s="52">
        <v>3798278</v>
      </c>
      <c r="L25" s="52">
        <v>772788</v>
      </c>
      <c r="M25" s="52">
        <v>1238670</v>
      </c>
      <c r="N25" s="52">
        <v>3463589</v>
      </c>
      <c r="O25" s="52">
        <f t="shared" si="3"/>
        <v>22422124</v>
      </c>
      <c r="Q25" s="13">
        <f>ROUND(SUMIF($R$10:$R$43,4009007,$S$10:$S$43),0)</f>
        <v>1233397</v>
      </c>
      <c r="R25" s="1">
        <v>4008144</v>
      </c>
      <c r="S25" s="8">
        <f>+X25</f>
        <v>119215</v>
      </c>
      <c r="T25" s="1" t="s">
        <v>69</v>
      </c>
      <c r="W25" s="9"/>
      <c r="X25" s="5">
        <f>52512+66703</f>
        <v>119215</v>
      </c>
      <c r="Y25" s="9"/>
      <c r="Z25" s="9"/>
      <c r="AA25" s="22"/>
    </row>
    <row r="26" spans="1:27" x14ac:dyDescent="0.25">
      <c r="B26" s="32" t="s">
        <v>28</v>
      </c>
      <c r="C26" s="52">
        <v>0</v>
      </c>
      <c r="D26" s="52">
        <v>3672931</v>
      </c>
      <c r="E26" s="52">
        <v>3055829</v>
      </c>
      <c r="F26" s="52">
        <v>3069566</v>
      </c>
      <c r="G26" s="52">
        <v>3249705</v>
      </c>
      <c r="H26" s="52">
        <v>2545844</v>
      </c>
      <c r="I26" s="52">
        <v>3003649</v>
      </c>
      <c r="J26" s="52">
        <v>5917786</v>
      </c>
      <c r="K26" s="52">
        <v>2792897</v>
      </c>
      <c r="L26" s="52">
        <v>3474395</v>
      </c>
      <c r="M26" s="52">
        <v>4189730</v>
      </c>
      <c r="N26" s="52">
        <v>7167570</v>
      </c>
      <c r="O26" s="52">
        <f t="shared" si="3"/>
        <v>42139902</v>
      </c>
      <c r="Q26" s="13" t="e">
        <f>ROUND(SUMIF($R$10:$R$44,"Total",$S$10:$S$44),0)-SUM(Q11:Q25)+X40+X41+X42+X43+#REF!</f>
        <v>#REF!</v>
      </c>
      <c r="R26" s="1">
        <v>4008170</v>
      </c>
      <c r="S26" s="8">
        <f t="shared" si="2"/>
        <v>0</v>
      </c>
      <c r="T26" s="1" t="s">
        <v>70</v>
      </c>
      <c r="W26" s="9"/>
      <c r="Y26" s="9"/>
      <c r="Z26" s="9"/>
      <c r="AA26" s="22"/>
    </row>
    <row r="27" spans="1:27" x14ac:dyDescent="0.25">
      <c r="B27" s="32" t="s">
        <v>29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f t="shared" si="3"/>
        <v>0</v>
      </c>
      <c r="Q27" s="7"/>
      <c r="R27" s="1">
        <v>4008182</v>
      </c>
      <c r="S27" s="8">
        <f t="shared" si="2"/>
        <v>0</v>
      </c>
      <c r="T27" s="1" t="s">
        <v>71</v>
      </c>
      <c r="W27" s="9"/>
      <c r="Y27" s="9"/>
      <c r="Z27" s="9"/>
      <c r="AA27" s="22"/>
    </row>
    <row r="28" spans="1:27" s="26" customFormat="1" x14ac:dyDescent="0.25">
      <c r="A28"/>
      <c r="B28" s="18" t="s">
        <v>30</v>
      </c>
      <c r="C28" s="55">
        <f>SUM(C20:C26)</f>
        <v>0</v>
      </c>
      <c r="D28" s="55">
        <f t="shared" ref="D28:N28" si="4">SUM(D20:D26)</f>
        <v>5101665</v>
      </c>
      <c r="E28" s="55">
        <f t="shared" si="4"/>
        <v>6263588</v>
      </c>
      <c r="F28" s="55">
        <f t="shared" si="4"/>
        <v>5123964</v>
      </c>
      <c r="G28" s="55">
        <f t="shared" si="4"/>
        <v>4308573</v>
      </c>
      <c r="H28" s="55">
        <f t="shared" si="4"/>
        <v>5573848</v>
      </c>
      <c r="I28" s="55">
        <f t="shared" si="4"/>
        <v>4679664</v>
      </c>
      <c r="J28" s="55">
        <f t="shared" si="4"/>
        <v>84110942</v>
      </c>
      <c r="K28" s="55">
        <f t="shared" si="4"/>
        <v>6962096</v>
      </c>
      <c r="L28" s="55">
        <f t="shared" si="4"/>
        <v>4673330</v>
      </c>
      <c r="M28" s="55">
        <f t="shared" si="4"/>
        <v>80949860</v>
      </c>
      <c r="N28" s="55">
        <f t="shared" si="4"/>
        <v>11574202</v>
      </c>
      <c r="O28" s="31">
        <f>SUM(O21:O27)</f>
        <v>219321732</v>
      </c>
      <c r="P28"/>
      <c r="Q28" s="7" t="e">
        <f>SUM(Q11:Q27)</f>
        <v>#REF!</v>
      </c>
      <c r="R28" s="1">
        <v>4008199</v>
      </c>
      <c r="S28" s="8">
        <f>+X28</f>
        <v>-40821.26</v>
      </c>
      <c r="T28" s="14" t="s">
        <v>72</v>
      </c>
      <c r="W28" s="9"/>
      <c r="X28" s="5">
        <f>-20030.52-20790.74</f>
        <v>-40821.26</v>
      </c>
      <c r="Y28" s="9"/>
      <c r="Z28" s="9"/>
      <c r="AA28" s="22"/>
    </row>
    <row r="29" spans="1:27" x14ac:dyDescent="0.25">
      <c r="A29" s="26"/>
      <c r="B29" s="33" t="s">
        <v>31</v>
      </c>
      <c r="C29" s="31">
        <f t="shared" ref="C29:I29" si="5">SUM(C10:C27)</f>
        <v>1252848</v>
      </c>
      <c r="D29" s="31">
        <f t="shared" si="5"/>
        <v>5434394</v>
      </c>
      <c r="E29" s="31">
        <f t="shared" si="5"/>
        <v>6263588</v>
      </c>
      <c r="F29" s="31">
        <f t="shared" si="5"/>
        <v>15222458</v>
      </c>
      <c r="G29" s="31">
        <f t="shared" si="5"/>
        <v>5821145</v>
      </c>
      <c r="H29" s="31">
        <f t="shared" si="5"/>
        <v>5577118</v>
      </c>
      <c r="I29" s="31">
        <f t="shared" si="5"/>
        <v>16608745</v>
      </c>
      <c r="J29" s="31">
        <f>SUM(J10:J26)</f>
        <v>84782542</v>
      </c>
      <c r="K29" s="31">
        <f>SUM(K10:K27)</f>
        <v>6962096</v>
      </c>
      <c r="L29" s="31">
        <f>SUM(L10:L27)</f>
        <v>17151702</v>
      </c>
      <c r="M29" s="31">
        <f>SUM(M10:M27)</f>
        <v>81374099</v>
      </c>
      <c r="N29" s="31">
        <f>SUM(N10:N27)</f>
        <v>22203125</v>
      </c>
      <c r="O29" s="31">
        <f>SUM(O10:O27)</f>
        <v>268653860</v>
      </c>
      <c r="P29" s="26"/>
      <c r="Q29" s="7"/>
      <c r="R29" s="1">
        <v>4008310</v>
      </c>
      <c r="S29" s="8">
        <f t="shared" si="2"/>
        <v>0</v>
      </c>
      <c r="T29" s="1" t="s">
        <v>73</v>
      </c>
      <c r="W29" s="9"/>
      <c r="Y29" s="9"/>
      <c r="Z29" s="9"/>
      <c r="AA29" s="22"/>
    </row>
    <row r="30" spans="1:27" x14ac:dyDescent="0.25">
      <c r="A30" s="18" t="s">
        <v>32</v>
      </c>
      <c r="C30" s="56" t="s">
        <v>107</v>
      </c>
      <c r="D30" s="56" t="s">
        <v>107</v>
      </c>
      <c r="E30" s="56" t="s">
        <v>107</v>
      </c>
      <c r="F30" s="56" t="s">
        <v>107</v>
      </c>
      <c r="G30" s="56" t="s">
        <v>107</v>
      </c>
      <c r="H30" s="56" t="s">
        <v>107</v>
      </c>
      <c r="I30" s="56" t="s">
        <v>107</v>
      </c>
      <c r="J30" s="56" t="s">
        <v>107</v>
      </c>
      <c r="K30" s="56" t="s">
        <v>107</v>
      </c>
      <c r="L30" s="56" t="s">
        <v>107</v>
      </c>
      <c r="M30" s="56" t="s">
        <v>107</v>
      </c>
      <c r="N30" s="56" t="s">
        <v>107</v>
      </c>
      <c r="O30" s="56" t="s">
        <v>107</v>
      </c>
      <c r="P30" s="56"/>
      <c r="Q30" s="7"/>
      <c r="R30" s="1">
        <v>4008311</v>
      </c>
      <c r="S30" s="8">
        <f t="shared" si="2"/>
        <v>0</v>
      </c>
      <c r="T30" s="1" t="s">
        <v>74</v>
      </c>
      <c r="W30" s="9"/>
      <c r="Y30" s="9"/>
      <c r="Z30" s="9"/>
      <c r="AA30" s="22"/>
    </row>
    <row r="31" spans="1:27" x14ac:dyDescent="0.25">
      <c r="B31" s="32" t="s">
        <v>33</v>
      </c>
      <c r="C31" s="52">
        <v>0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27">
        <f>SUM(C31:N31)</f>
        <v>0</v>
      </c>
      <c r="Q31" s="7"/>
      <c r="R31" s="1">
        <v>4008315</v>
      </c>
      <c r="S31" s="8">
        <f t="shared" si="2"/>
        <v>0</v>
      </c>
      <c r="T31" s="1" t="s">
        <v>75</v>
      </c>
      <c r="W31" s="9"/>
      <c r="Y31" s="9"/>
      <c r="Z31" s="9"/>
      <c r="AA31" s="22"/>
    </row>
    <row r="32" spans="1:27" x14ac:dyDescent="0.25">
      <c r="B32" s="32" t="s">
        <v>34</v>
      </c>
      <c r="C32" s="52">
        <v>0</v>
      </c>
      <c r="D32" s="52"/>
      <c r="E32" s="52"/>
      <c r="F32" s="35">
        <v>652734</v>
      </c>
      <c r="G32" s="52"/>
      <c r="H32" s="52"/>
      <c r="I32" s="52"/>
      <c r="J32" s="52"/>
      <c r="K32" s="52"/>
      <c r="L32" s="36">
        <v>67187125</v>
      </c>
      <c r="M32" s="52"/>
      <c r="N32" s="52"/>
      <c r="O32" s="27">
        <f>SUM(C32:N32)</f>
        <v>67839859</v>
      </c>
      <c r="Q32" s="7"/>
      <c r="R32" s="1">
        <v>4008402</v>
      </c>
      <c r="S32" s="8">
        <f t="shared" si="2"/>
        <v>-150</v>
      </c>
      <c r="T32" s="1" t="s">
        <v>76</v>
      </c>
      <c r="W32" s="9"/>
      <c r="X32" s="5">
        <v>-150</v>
      </c>
      <c r="Y32" s="9"/>
      <c r="Z32" s="9"/>
      <c r="AA32" s="22"/>
    </row>
    <row r="33" spans="1:27" x14ac:dyDescent="0.25">
      <c r="B33" s="32" t="s">
        <v>29</v>
      </c>
      <c r="C33" s="52">
        <v>0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>
        <f t="shared" ref="O33:O39" si="6">SUM(C33:N33)</f>
        <v>0</v>
      </c>
      <c r="Q33" s="7"/>
      <c r="R33" s="1">
        <v>4009000</v>
      </c>
      <c r="S33" s="8">
        <f t="shared" si="2"/>
        <v>0</v>
      </c>
      <c r="T33" s="1" t="s">
        <v>77</v>
      </c>
      <c r="W33" s="9"/>
      <c r="Y33" s="9"/>
      <c r="Z33" s="9"/>
      <c r="AA33" s="22"/>
    </row>
    <row r="34" spans="1:27" x14ac:dyDescent="0.25">
      <c r="B34" s="32" t="s">
        <v>35</v>
      </c>
      <c r="C34" s="52">
        <v>3039895</v>
      </c>
      <c r="D34" s="52"/>
      <c r="E34" s="52"/>
      <c r="F34" s="52"/>
      <c r="G34" s="52"/>
      <c r="H34" s="52"/>
      <c r="I34" s="52">
        <v>1519370</v>
      </c>
      <c r="J34" s="52">
        <v>7999935</v>
      </c>
      <c r="K34" s="52">
        <v>3175465</v>
      </c>
      <c r="L34" s="52">
        <v>14640904</v>
      </c>
      <c r="M34" s="52">
        <v>5619939</v>
      </c>
      <c r="N34" s="52">
        <v>6596350</v>
      </c>
      <c r="O34" s="52">
        <f>SUM(C34:N34)</f>
        <v>42591858</v>
      </c>
      <c r="Q34" s="7"/>
      <c r="R34" s="1">
        <v>4009001</v>
      </c>
      <c r="S34" s="8">
        <f t="shared" si="2"/>
        <v>0</v>
      </c>
      <c r="T34" s="1" t="s">
        <v>78</v>
      </c>
      <c r="W34" s="9"/>
      <c r="X34" s="5">
        <v>0</v>
      </c>
      <c r="Y34" s="9"/>
      <c r="Z34" s="9"/>
      <c r="AA34" s="22"/>
    </row>
    <row r="35" spans="1:27" x14ac:dyDescent="0.25">
      <c r="B35" s="32" t="s">
        <v>36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 t="s">
        <v>107</v>
      </c>
      <c r="Q35" s="7"/>
      <c r="R35" s="1">
        <v>4009007</v>
      </c>
      <c r="S35" s="8">
        <f>+X35</f>
        <v>1233397.42</v>
      </c>
      <c r="T35" s="1" t="s">
        <v>79</v>
      </c>
      <c r="W35" s="9"/>
      <c r="X35" s="5">
        <f>100044.42+1133353</f>
        <v>1233397.42</v>
      </c>
      <c r="Y35" s="9"/>
      <c r="Z35" s="9"/>
      <c r="AA35" s="22"/>
    </row>
    <row r="36" spans="1:27" x14ac:dyDescent="0.25">
      <c r="B36" s="18" t="s">
        <v>46</v>
      </c>
      <c r="C36" s="52">
        <v>0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>
        <f t="shared" si="6"/>
        <v>0</v>
      </c>
      <c r="Q36" s="7"/>
      <c r="R36" s="1">
        <v>4009060</v>
      </c>
      <c r="S36" s="8">
        <f t="shared" si="2"/>
        <v>0</v>
      </c>
      <c r="T36" s="1" t="s">
        <v>80</v>
      </c>
      <c r="W36" s="9"/>
      <c r="X36" s="5">
        <v>0</v>
      </c>
      <c r="Y36" s="9"/>
      <c r="Z36" s="9"/>
      <c r="AA36" s="22"/>
    </row>
    <row r="37" spans="1:27" x14ac:dyDescent="0.25">
      <c r="B37" s="32" t="s">
        <v>48</v>
      </c>
      <c r="C37" s="52">
        <v>0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34"/>
      <c r="O37" s="37">
        <f>SUM(C37:N37)</f>
        <v>0</v>
      </c>
      <c r="Q37" s="7"/>
      <c r="R37" s="1">
        <v>4009084</v>
      </c>
      <c r="S37" s="8">
        <f>+X37</f>
        <v>-1939.31</v>
      </c>
      <c r="T37" s="1" t="s">
        <v>91</v>
      </c>
      <c r="W37" s="9"/>
      <c r="X37" s="5">
        <v>-1939.31</v>
      </c>
      <c r="Y37" s="9"/>
      <c r="Z37" s="9"/>
      <c r="AA37" s="22"/>
    </row>
    <row r="38" spans="1:27" x14ac:dyDescent="0.25">
      <c r="B38" s="32" t="s">
        <v>109</v>
      </c>
      <c r="C38" s="52">
        <v>0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34">
        <v>50000000</v>
      </c>
      <c r="O38" s="37">
        <f>SUM(C38:N38)</f>
        <v>50000000</v>
      </c>
      <c r="Q38" s="7"/>
      <c r="S38" s="8"/>
      <c r="W38" s="9"/>
      <c r="Y38" s="9"/>
      <c r="Z38" s="9"/>
      <c r="AA38" s="22"/>
    </row>
    <row r="39" spans="1:27" x14ac:dyDescent="0.25">
      <c r="B39" s="18" t="s">
        <v>47</v>
      </c>
      <c r="C39" s="53">
        <v>0</v>
      </c>
      <c r="D39" s="53"/>
      <c r="E39" s="53"/>
      <c r="F39" s="53"/>
      <c r="G39" s="52"/>
      <c r="H39" s="52"/>
      <c r="I39" s="52"/>
      <c r="J39" s="52"/>
      <c r="K39" s="52"/>
      <c r="L39" s="52"/>
      <c r="M39" s="53"/>
      <c r="N39" s="53"/>
      <c r="O39" s="37">
        <f t="shared" si="6"/>
        <v>0</v>
      </c>
      <c r="Q39" s="7"/>
      <c r="R39" s="1">
        <v>4009999</v>
      </c>
      <c r="S39" s="8">
        <f>+X39</f>
        <v>585.08000000000004</v>
      </c>
      <c r="T39" s="1" t="s">
        <v>102</v>
      </c>
      <c r="W39" s="9"/>
      <c r="X39" s="5">
        <v>585.08000000000004</v>
      </c>
      <c r="Y39" s="9"/>
      <c r="Z39" s="9"/>
    </row>
    <row r="40" spans="1:27" s="26" customFormat="1" x14ac:dyDescent="0.25">
      <c r="A40"/>
      <c r="B40" s="32" t="s">
        <v>37</v>
      </c>
      <c r="C40" s="55">
        <f t="shared" ref="C40:M40" si="7">SUM(C36:C39)</f>
        <v>0</v>
      </c>
      <c r="D40" s="55">
        <f t="shared" si="7"/>
        <v>0</v>
      </c>
      <c r="E40" s="55">
        <f t="shared" si="7"/>
        <v>0</v>
      </c>
      <c r="F40" s="55">
        <f t="shared" si="7"/>
        <v>0</v>
      </c>
      <c r="G40" s="55">
        <f t="shared" si="7"/>
        <v>0</v>
      </c>
      <c r="H40" s="55">
        <f t="shared" si="7"/>
        <v>0</v>
      </c>
      <c r="I40" s="55">
        <f t="shared" si="7"/>
        <v>0</v>
      </c>
      <c r="J40" s="55">
        <f t="shared" si="7"/>
        <v>0</v>
      </c>
      <c r="K40" s="55">
        <f t="shared" si="7"/>
        <v>0</v>
      </c>
      <c r="L40" s="55">
        <f t="shared" si="7"/>
        <v>0</v>
      </c>
      <c r="M40" s="55">
        <f t="shared" si="7"/>
        <v>0</v>
      </c>
      <c r="N40" s="31">
        <f>SUM(N36:N39)</f>
        <v>50000000</v>
      </c>
      <c r="O40" s="38">
        <f>SUM(O36:O39)</f>
        <v>50000000</v>
      </c>
      <c r="P40"/>
      <c r="Q40" s="7"/>
      <c r="R40" s="1"/>
      <c r="S40" s="8"/>
      <c r="T40" s="1" t="s">
        <v>103</v>
      </c>
      <c r="U40"/>
      <c r="V40"/>
      <c r="W40" s="9"/>
      <c r="X40" s="5">
        <v>0</v>
      </c>
      <c r="Y40" s="9"/>
      <c r="Z40" s="9"/>
    </row>
    <row r="41" spans="1:27" ht="15.75" customHeight="1" x14ac:dyDescent="0.25">
      <c r="A41" s="26"/>
      <c r="B41" s="39" t="s">
        <v>38</v>
      </c>
      <c r="C41" s="55">
        <f t="shared" ref="C41:O41" si="8">SUM(C31:C39)</f>
        <v>3039895</v>
      </c>
      <c r="D41" s="55">
        <f t="shared" si="8"/>
        <v>0</v>
      </c>
      <c r="E41" s="55">
        <f t="shared" si="8"/>
        <v>0</v>
      </c>
      <c r="F41" s="31">
        <f t="shared" si="8"/>
        <v>652734</v>
      </c>
      <c r="G41" s="55">
        <f t="shared" si="8"/>
        <v>0</v>
      </c>
      <c r="H41" s="31">
        <f t="shared" si="8"/>
        <v>0</v>
      </c>
      <c r="I41" s="31">
        <f t="shared" si="8"/>
        <v>1519370</v>
      </c>
      <c r="J41" s="55">
        <f t="shared" si="8"/>
        <v>7999935</v>
      </c>
      <c r="K41" s="55">
        <f t="shared" si="8"/>
        <v>3175465</v>
      </c>
      <c r="L41" s="31">
        <f t="shared" si="8"/>
        <v>81828029</v>
      </c>
      <c r="M41" s="55">
        <f t="shared" si="8"/>
        <v>5619939</v>
      </c>
      <c r="N41" s="31">
        <f t="shared" si="8"/>
        <v>56596350</v>
      </c>
      <c r="O41" s="31">
        <f t="shared" si="8"/>
        <v>160431717</v>
      </c>
      <c r="P41" s="26"/>
      <c r="R41" s="15"/>
      <c r="S41" s="8"/>
      <c r="T41" s="14" t="s">
        <v>104</v>
      </c>
      <c r="U41" s="26"/>
      <c r="V41" s="26"/>
      <c r="X41" s="5">
        <f>3954+3984</f>
        <v>7938</v>
      </c>
    </row>
    <row r="42" spans="1:27" x14ac:dyDescent="0.25">
      <c r="A42" s="18" t="s">
        <v>39</v>
      </c>
      <c r="C42" s="56" t="s">
        <v>107</v>
      </c>
      <c r="D42" s="56" t="s">
        <v>107</v>
      </c>
      <c r="E42" s="56" t="s">
        <v>107</v>
      </c>
      <c r="F42" s="56" t="s">
        <v>107</v>
      </c>
      <c r="G42" s="56" t="s">
        <v>107</v>
      </c>
      <c r="H42" s="56" t="s">
        <v>107</v>
      </c>
      <c r="I42" s="56" t="s">
        <v>107</v>
      </c>
      <c r="J42" s="56" t="s">
        <v>107</v>
      </c>
      <c r="K42" s="56" t="s">
        <v>107</v>
      </c>
      <c r="L42" s="56" t="s">
        <v>107</v>
      </c>
      <c r="M42" s="56" t="s">
        <v>107</v>
      </c>
      <c r="N42" s="56" t="s">
        <v>107</v>
      </c>
      <c r="O42" s="56" t="s">
        <v>107</v>
      </c>
      <c r="S42" s="8"/>
      <c r="T42" s="1" t="s">
        <v>100</v>
      </c>
      <c r="X42" s="5">
        <v>0</v>
      </c>
      <c r="AA42" s="3"/>
    </row>
    <row r="43" spans="1:27" x14ac:dyDescent="0.25">
      <c r="B43" s="32" t="s">
        <v>14</v>
      </c>
      <c r="C43" s="31">
        <v>695118566</v>
      </c>
      <c r="D43" s="31">
        <v>700552960</v>
      </c>
      <c r="E43" s="31">
        <v>706816548</v>
      </c>
      <c r="F43" s="31">
        <v>721386272</v>
      </c>
      <c r="G43" s="31">
        <v>727207417</v>
      </c>
      <c r="H43" s="31">
        <v>732784535</v>
      </c>
      <c r="I43" s="31">
        <v>747873910</v>
      </c>
      <c r="J43" s="31">
        <v>824656517</v>
      </c>
      <c r="K43" s="31">
        <v>828443148</v>
      </c>
      <c r="L43" s="31">
        <v>763766821</v>
      </c>
      <c r="M43" s="31">
        <v>839520981</v>
      </c>
      <c r="N43" s="31">
        <v>805127756</v>
      </c>
      <c r="O43" s="31">
        <f>+O7+O29-O41</f>
        <v>805127756</v>
      </c>
      <c r="Q43" s="7"/>
      <c r="T43" s="1" t="s">
        <v>101</v>
      </c>
      <c r="X43" s="5">
        <v>0</v>
      </c>
    </row>
    <row r="44" spans="1:27" ht="16.5" thickBot="1" x14ac:dyDescent="0.3">
      <c r="A44" s="18" t="s">
        <v>40</v>
      </c>
      <c r="C44" s="27">
        <f>SUM(C43:C43)</f>
        <v>695118566</v>
      </c>
      <c r="D44" s="27">
        <f t="shared" ref="D44:K44" si="9">SUM(D43:D43)</f>
        <v>700552960</v>
      </c>
      <c r="E44" s="27">
        <f>SUM(E43:E43)</f>
        <v>706816548</v>
      </c>
      <c r="F44" s="27">
        <f t="shared" si="9"/>
        <v>721386272</v>
      </c>
      <c r="G44" s="27">
        <f>SUM(G43:G43)</f>
        <v>727207417</v>
      </c>
      <c r="H44" s="27">
        <f t="shared" si="9"/>
        <v>732784535</v>
      </c>
      <c r="I44" s="27">
        <f>SUM(I43:I43)</f>
        <v>747873910</v>
      </c>
      <c r="J44" s="27">
        <f t="shared" si="9"/>
        <v>824656517</v>
      </c>
      <c r="K44" s="27">
        <f t="shared" si="9"/>
        <v>828443148</v>
      </c>
      <c r="L44" s="27">
        <f>SUM(L43:L43)</f>
        <v>763766821</v>
      </c>
      <c r="M44" s="27">
        <f>SUM(M43:M43)</f>
        <v>839520981</v>
      </c>
      <c r="N44" s="27">
        <f>SUM(N43:N43)</f>
        <v>805127756</v>
      </c>
      <c r="O44" s="27">
        <f>SUM(O43:O43)</f>
        <v>805127756</v>
      </c>
      <c r="R44" s="15" t="s">
        <v>81</v>
      </c>
      <c r="S44" s="16">
        <f>SUM(S10:S43)</f>
        <v>11210752.699999999</v>
      </c>
      <c r="W44" s="17"/>
      <c r="X44" s="17">
        <f>SUM(X10:X43)</f>
        <v>11218690.699999999</v>
      </c>
      <c r="Y44" s="16">
        <f>SUM(Y10:Y43)</f>
        <v>0</v>
      </c>
      <c r="Z44" s="16">
        <f>SUM(Z10:Z43)</f>
        <v>0</v>
      </c>
    </row>
    <row r="45" spans="1:27" ht="16.5" thickTop="1" x14ac:dyDescent="0.25">
      <c r="B45" s="32" t="s">
        <v>41</v>
      </c>
      <c r="C45" s="54">
        <v>-60847677.890000001</v>
      </c>
      <c r="D45" s="54">
        <v>-60847677.890000001</v>
      </c>
      <c r="E45" s="54">
        <v>-187095842.88999999</v>
      </c>
      <c r="F45" s="54">
        <v>-189095842.88999999</v>
      </c>
      <c r="G45" s="54">
        <v>-189095842.88999999</v>
      </c>
      <c r="H45" s="54">
        <v>-189095842.88999999</v>
      </c>
      <c r="I45" s="54">
        <v>-187576472.88999999</v>
      </c>
      <c r="J45" s="54">
        <v>-179576537.88999999</v>
      </c>
      <c r="K45" s="54">
        <v>-237623726.88999999</v>
      </c>
      <c r="L45" s="54">
        <v>-222982822.88999999</v>
      </c>
      <c r="M45" s="54">
        <v>-231369883.88999999</v>
      </c>
      <c r="N45" s="54">
        <v>-239406396.88999999</v>
      </c>
      <c r="O45" s="54">
        <f>IF(N45&lt;0,N45,IF(M45&lt;0,M45,IF(L45&lt;0,L45,IF(K45&lt;0,K45,IF(J45&lt;0,J45,IF(G45&lt;0,G45,IF(I45&lt;0,I45,IF(H45&lt;0,H45,IF(F45&lt;0,F45,IF(E45&lt;0,E45,IF(D45&lt;0,D45,IF(C45&lt;0,C45,0))))))))))))</f>
        <v>-239406396.88999999</v>
      </c>
      <c r="X45" s="5">
        <f>5279621.87+5907750.75+23410.08</f>
        <v>11210782.700000001</v>
      </c>
    </row>
    <row r="46" spans="1:27" x14ac:dyDescent="0.25">
      <c r="B46" s="32" t="s">
        <v>108</v>
      </c>
      <c r="C46" s="54">
        <v>-25946293.710000001</v>
      </c>
      <c r="D46" s="54">
        <v>-26130293.710000001</v>
      </c>
      <c r="E46" s="54">
        <v>-26130293.710000001</v>
      </c>
      <c r="F46" s="54">
        <v>-26130293.710000001</v>
      </c>
      <c r="G46" s="54">
        <v>-27341241.710000001</v>
      </c>
      <c r="H46" s="54">
        <v>-27341241.710000008</v>
      </c>
      <c r="I46" s="54">
        <v>-25821871.710000008</v>
      </c>
      <c r="J46" s="54">
        <v>-18321936.710000001</v>
      </c>
      <c r="K46" s="54">
        <v>-15146471.710000001</v>
      </c>
      <c r="L46" s="54">
        <v>-1108549.7100000009</v>
      </c>
      <c r="M46" s="54">
        <v>0</v>
      </c>
      <c r="N46" s="54">
        <v>0</v>
      </c>
      <c r="O46" s="54">
        <f>+N46</f>
        <v>0</v>
      </c>
    </row>
    <row r="47" spans="1:27" x14ac:dyDescent="0.25">
      <c r="B47" s="18" t="s">
        <v>98</v>
      </c>
      <c r="C47" s="53">
        <v>0</v>
      </c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>
        <f>IF(N47&lt;0,N47,IF(M47&lt;0,M47,IF(L47&lt;0,L47,IF(K47&lt;0,K47,IF(J47&lt;0,J47,IF(G47&lt;0,G47,IF(I47&lt;0,I47,IF(H47&lt;0,H47,IF(F47&lt;0,F47,IF(E47&lt;0,E47,IF(D47&lt;0,D47,IF(C47&lt;0,C47,0))))))))))))</f>
        <v>0</v>
      </c>
      <c r="X47" s="5">
        <f>X45-X44</f>
        <v>-7907.9999999981374</v>
      </c>
    </row>
    <row r="48" spans="1:27" ht="16.5" thickBot="1" x14ac:dyDescent="0.3">
      <c r="A48" s="18" t="s">
        <v>42</v>
      </c>
      <c r="C48" s="40">
        <f>SUM(C44:C47)</f>
        <v>608324594.39999998</v>
      </c>
      <c r="D48" s="40">
        <f>SUM(D44:D47)</f>
        <v>613574988.39999998</v>
      </c>
      <c r="E48" s="40">
        <f t="shared" ref="E48:K48" si="10">SUM(E44:E47)</f>
        <v>493590411.40000004</v>
      </c>
      <c r="F48" s="40">
        <f t="shared" si="10"/>
        <v>506160135.40000004</v>
      </c>
      <c r="G48" s="40">
        <f t="shared" si="10"/>
        <v>510770332.40000004</v>
      </c>
      <c r="H48" s="40">
        <f t="shared" si="10"/>
        <v>516347450.39999998</v>
      </c>
      <c r="I48" s="40">
        <f t="shared" si="10"/>
        <v>534475565.39999998</v>
      </c>
      <c r="J48" s="40">
        <f t="shared" si="10"/>
        <v>626758042.39999998</v>
      </c>
      <c r="K48" s="40">
        <f t="shared" si="10"/>
        <v>575672949.39999998</v>
      </c>
      <c r="L48" s="40">
        <f>SUM(L44:L47)</f>
        <v>539675448.39999998</v>
      </c>
      <c r="M48" s="40">
        <f>SUM(M44:M47)</f>
        <v>608151097.11000001</v>
      </c>
      <c r="N48" s="40">
        <f>SUM(N44:N47)</f>
        <v>565721359.11000001</v>
      </c>
      <c r="O48" s="40">
        <f>SUM(O44:O47)</f>
        <v>565721359.11000001</v>
      </c>
      <c r="S48" s="3">
        <f>S44-X45</f>
        <v>-30.000000001862645</v>
      </c>
    </row>
    <row r="49" spans="1:15" ht="16.5" thickTop="1" x14ac:dyDescent="0.25">
      <c r="A49" s="18" t="s">
        <v>0</v>
      </c>
      <c r="C49" s="58" t="s">
        <v>107</v>
      </c>
      <c r="D49" s="58" t="s">
        <v>107</v>
      </c>
      <c r="E49" s="58" t="s">
        <v>107</v>
      </c>
      <c r="F49" s="58" t="s">
        <v>107</v>
      </c>
      <c r="G49" s="58" t="s">
        <v>107</v>
      </c>
      <c r="H49" s="58" t="s">
        <v>107</v>
      </c>
      <c r="I49" s="58" t="s">
        <v>107</v>
      </c>
      <c r="J49" s="58" t="s">
        <v>107</v>
      </c>
      <c r="K49" s="58" t="s">
        <v>107</v>
      </c>
      <c r="L49" s="58" t="s">
        <v>107</v>
      </c>
      <c r="M49" s="58" t="s">
        <v>107</v>
      </c>
      <c r="N49" s="58" t="s">
        <v>107</v>
      </c>
      <c r="O49" s="58" t="s">
        <v>107</v>
      </c>
    </row>
    <row r="50" spans="1:15" x14ac:dyDescent="0.25">
      <c r="A50" s="51" t="str">
        <f>A3</f>
        <v>FISCAL YEAR 2025</v>
      </c>
      <c r="C50" s="58" t="s">
        <v>107</v>
      </c>
      <c r="D50" s="58" t="s">
        <v>107</v>
      </c>
      <c r="E50" s="58" t="s">
        <v>107</v>
      </c>
      <c r="F50" s="58" t="s">
        <v>107</v>
      </c>
      <c r="G50" s="58" t="s">
        <v>107</v>
      </c>
      <c r="H50" s="58" t="s">
        <v>107</v>
      </c>
      <c r="I50" s="58" t="s">
        <v>107</v>
      </c>
      <c r="J50" s="58" t="s">
        <v>107</v>
      </c>
      <c r="K50" s="58" t="s">
        <v>107</v>
      </c>
      <c r="L50" s="58" t="s">
        <v>107</v>
      </c>
      <c r="M50" s="58" t="s">
        <v>107</v>
      </c>
      <c r="N50" s="58" t="s">
        <v>107</v>
      </c>
      <c r="O50" s="58" t="s">
        <v>107</v>
      </c>
    </row>
    <row r="51" spans="1:15" x14ac:dyDescent="0.25">
      <c r="C51" s="23" t="s">
        <v>1</v>
      </c>
      <c r="D51" s="23" t="s">
        <v>2</v>
      </c>
      <c r="E51" s="24" t="s">
        <v>3</v>
      </c>
      <c r="F51" s="23" t="s">
        <v>4</v>
      </c>
      <c r="G51" s="43" t="s">
        <v>5</v>
      </c>
      <c r="H51" s="23" t="s">
        <v>6</v>
      </c>
      <c r="I51" s="24" t="s">
        <v>7</v>
      </c>
      <c r="J51" s="24" t="s">
        <v>8</v>
      </c>
      <c r="K51" s="23" t="s">
        <v>9</v>
      </c>
      <c r="L51" s="24" t="s">
        <v>10</v>
      </c>
      <c r="M51" s="24" t="s">
        <v>11</v>
      </c>
      <c r="N51" s="24" t="s">
        <v>99</v>
      </c>
      <c r="O51" s="58" t="s">
        <v>107</v>
      </c>
    </row>
    <row r="52" spans="1:15" x14ac:dyDescent="0.25">
      <c r="A52" s="32" t="s">
        <v>43</v>
      </c>
      <c r="C52" s="58" t="s">
        <v>107</v>
      </c>
      <c r="D52" s="58" t="s">
        <v>107</v>
      </c>
      <c r="E52" s="58" t="s">
        <v>107</v>
      </c>
      <c r="F52" s="58" t="s">
        <v>107</v>
      </c>
      <c r="G52" s="58" t="s">
        <v>107</v>
      </c>
      <c r="H52" s="58" t="s">
        <v>107</v>
      </c>
      <c r="I52" s="58" t="s">
        <v>107</v>
      </c>
      <c r="J52" s="58" t="s">
        <v>107</v>
      </c>
      <c r="K52" s="58" t="s">
        <v>107</v>
      </c>
      <c r="L52" s="58" t="s">
        <v>107</v>
      </c>
      <c r="M52" s="58" t="s">
        <v>107</v>
      </c>
      <c r="N52" s="58" t="s">
        <v>107</v>
      </c>
      <c r="O52" s="58" t="s">
        <v>107</v>
      </c>
    </row>
    <row r="53" spans="1:15" x14ac:dyDescent="0.25">
      <c r="B53" s="32" t="s">
        <v>44</v>
      </c>
      <c r="C53" s="52">
        <v>7962427</v>
      </c>
      <c r="D53" s="52">
        <v>11002322.289999999</v>
      </c>
      <c r="E53" s="52">
        <v>11002322.289999999</v>
      </c>
      <c r="F53" s="52">
        <v>11002322.289999999</v>
      </c>
      <c r="G53" s="52">
        <v>11002322.289999999</v>
      </c>
      <c r="H53" s="52">
        <v>11002322.289999999</v>
      </c>
      <c r="I53" s="52">
        <v>11002322.289999999</v>
      </c>
      <c r="J53" s="52">
        <v>12521692.289999999</v>
      </c>
      <c r="K53" s="52">
        <v>20521627.289999999</v>
      </c>
      <c r="L53" s="52">
        <v>22697092.289999999</v>
      </c>
      <c r="M53" s="52">
        <v>37337996.289999999</v>
      </c>
      <c r="N53" s="52">
        <v>42957935.289999999</v>
      </c>
      <c r="O53" s="58" t="s">
        <v>107</v>
      </c>
    </row>
    <row r="54" spans="1:15" x14ac:dyDescent="0.25">
      <c r="B54" s="32" t="s">
        <v>35</v>
      </c>
      <c r="C54" s="52">
        <v>3039895.29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1519370</v>
      </c>
      <c r="J54" s="52">
        <v>7999935</v>
      </c>
      <c r="K54" s="52">
        <v>3175465</v>
      </c>
      <c r="L54" s="52">
        <v>14640904</v>
      </c>
      <c r="M54" s="52">
        <v>5619939</v>
      </c>
      <c r="N54" s="52">
        <v>6596350</v>
      </c>
      <c r="O54" s="58" t="s">
        <v>107</v>
      </c>
    </row>
    <row r="55" spans="1:15" x14ac:dyDescent="0.25">
      <c r="B55" s="18" t="s">
        <v>57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8" t="s">
        <v>107</v>
      </c>
    </row>
    <row r="56" spans="1:15" x14ac:dyDescent="0.25">
      <c r="B56" s="32" t="s">
        <v>56</v>
      </c>
      <c r="C56" s="52">
        <v>0</v>
      </c>
      <c r="D56" s="52">
        <v>0</v>
      </c>
      <c r="E56" s="52"/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-1000000</v>
      </c>
      <c r="L56" s="52">
        <v>0</v>
      </c>
      <c r="M56" s="52">
        <v>0</v>
      </c>
      <c r="N56" s="52">
        <v>-13952863</v>
      </c>
      <c r="O56" s="58" t="s">
        <v>107</v>
      </c>
    </row>
    <row r="57" spans="1:15" ht="16.5" thickBot="1" x14ac:dyDescent="0.3">
      <c r="B57" s="32" t="s">
        <v>45</v>
      </c>
      <c r="C57" s="59">
        <f t="shared" ref="C57:N57" si="11">SUM(C53:C56)</f>
        <v>11002322.289999999</v>
      </c>
      <c r="D57" s="59">
        <f t="shared" si="11"/>
        <v>11002322.289999999</v>
      </c>
      <c r="E57" s="59">
        <f t="shared" si="11"/>
        <v>11002322.289999999</v>
      </c>
      <c r="F57" s="59">
        <f t="shared" si="11"/>
        <v>11002322.289999999</v>
      </c>
      <c r="G57" s="59">
        <f t="shared" si="11"/>
        <v>11002322.289999999</v>
      </c>
      <c r="H57" s="59">
        <f t="shared" si="11"/>
        <v>11002322.289999999</v>
      </c>
      <c r="I57" s="59">
        <f t="shared" si="11"/>
        <v>12521692.289999999</v>
      </c>
      <c r="J57" s="59">
        <f t="shared" si="11"/>
        <v>20521627.289999999</v>
      </c>
      <c r="K57" s="59">
        <f t="shared" si="11"/>
        <v>22697092.289999999</v>
      </c>
      <c r="L57" s="59">
        <f t="shared" si="11"/>
        <v>37337996.289999999</v>
      </c>
      <c r="M57" s="59">
        <f t="shared" si="11"/>
        <v>42957935.289999999</v>
      </c>
      <c r="N57" s="59">
        <f t="shared" si="11"/>
        <v>35601422.289999999</v>
      </c>
      <c r="O57" s="58" t="s">
        <v>107</v>
      </c>
    </row>
    <row r="58" spans="1:15" ht="16.5" thickTop="1" x14ac:dyDescent="0.25">
      <c r="A58" s="32" t="s">
        <v>58</v>
      </c>
      <c r="C58" s="58" t="s">
        <v>107</v>
      </c>
      <c r="D58" s="58" t="s">
        <v>107</v>
      </c>
      <c r="E58" s="58" t="s">
        <v>107</v>
      </c>
      <c r="F58" s="58" t="s">
        <v>107</v>
      </c>
      <c r="G58" s="58" t="s">
        <v>107</v>
      </c>
      <c r="H58" s="58" t="s">
        <v>107</v>
      </c>
      <c r="I58" s="58" t="s">
        <v>107</v>
      </c>
      <c r="J58" s="58" t="s">
        <v>107</v>
      </c>
      <c r="K58" s="58" t="s">
        <v>107</v>
      </c>
      <c r="L58" s="58" t="s">
        <v>107</v>
      </c>
      <c r="M58" s="58" t="s">
        <v>107</v>
      </c>
      <c r="N58" s="58" t="s">
        <v>107</v>
      </c>
      <c r="O58" s="58" t="s">
        <v>107</v>
      </c>
    </row>
    <row r="59" spans="1:15" x14ac:dyDescent="0.25">
      <c r="B59" s="32" t="s">
        <v>52</v>
      </c>
      <c r="C59" s="41">
        <v>41195914</v>
      </c>
      <c r="D59" s="41">
        <v>41011914</v>
      </c>
      <c r="E59" s="41">
        <v>41011914</v>
      </c>
      <c r="F59" s="41">
        <v>41011914</v>
      </c>
      <c r="G59" s="41">
        <v>39800966</v>
      </c>
      <c r="H59" s="41">
        <v>39800966</v>
      </c>
      <c r="I59" s="41">
        <v>39800966</v>
      </c>
      <c r="J59" s="41">
        <v>39300966</v>
      </c>
      <c r="K59" s="41">
        <v>39300966</v>
      </c>
      <c r="L59" s="41">
        <v>38790758</v>
      </c>
      <c r="M59" s="41">
        <v>38790758</v>
      </c>
      <c r="N59" s="27">
        <v>38790757.740000002</v>
      </c>
      <c r="O59" s="58" t="s">
        <v>107</v>
      </c>
    </row>
    <row r="60" spans="1:15" x14ac:dyDescent="0.25">
      <c r="B60" s="32" t="s">
        <v>53</v>
      </c>
      <c r="C60" s="44">
        <v>1855470</v>
      </c>
      <c r="D60" s="27">
        <v>1855470</v>
      </c>
      <c r="E60" s="27">
        <v>1855470</v>
      </c>
      <c r="F60" s="27">
        <v>1855470</v>
      </c>
      <c r="G60" s="27">
        <v>1855470</v>
      </c>
      <c r="H60" s="27">
        <v>1855470</v>
      </c>
      <c r="I60" s="27">
        <v>1855470</v>
      </c>
      <c r="J60" s="27">
        <v>1855470</v>
      </c>
      <c r="K60" s="27">
        <v>2855470</v>
      </c>
      <c r="L60" s="27">
        <v>2762696</v>
      </c>
      <c r="M60" s="27">
        <v>2762696</v>
      </c>
      <c r="N60" s="27">
        <v>16715560</v>
      </c>
      <c r="O60" s="58" t="s">
        <v>107</v>
      </c>
    </row>
    <row r="61" spans="1:15" ht="16.5" thickBot="1" x14ac:dyDescent="0.3">
      <c r="B61" s="32" t="s">
        <v>54</v>
      </c>
      <c r="C61" s="45">
        <f t="shared" ref="C61:N61" si="12">SUM(C58:C60)</f>
        <v>43051384</v>
      </c>
      <c r="D61" s="40">
        <f t="shared" si="12"/>
        <v>42867384</v>
      </c>
      <c r="E61" s="45">
        <f t="shared" si="12"/>
        <v>42867384</v>
      </c>
      <c r="F61" s="40">
        <f t="shared" si="12"/>
        <v>42867384</v>
      </c>
      <c r="G61" s="40">
        <f t="shared" si="12"/>
        <v>41656436</v>
      </c>
      <c r="H61" s="40">
        <f t="shared" si="12"/>
        <v>41656436</v>
      </c>
      <c r="I61" s="40">
        <f t="shared" si="12"/>
        <v>41656436</v>
      </c>
      <c r="J61" s="40">
        <f t="shared" si="12"/>
        <v>41156436</v>
      </c>
      <c r="K61" s="40">
        <f t="shared" si="12"/>
        <v>42156436</v>
      </c>
      <c r="L61" s="40">
        <f t="shared" si="12"/>
        <v>41553454</v>
      </c>
      <c r="M61" s="45">
        <f t="shared" si="12"/>
        <v>41553454</v>
      </c>
      <c r="N61" s="45">
        <f t="shared" si="12"/>
        <v>55506317.740000002</v>
      </c>
      <c r="O61" s="58" t="s">
        <v>107</v>
      </c>
    </row>
    <row r="62" spans="1:15" ht="16.5" thickTop="1" x14ac:dyDescent="0.25">
      <c r="A62" s="50" t="s">
        <v>105</v>
      </c>
      <c r="B62" s="3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6"/>
    </row>
    <row r="63" spans="1:15" x14ac:dyDescent="0.25">
      <c r="A63" s="42"/>
      <c r="C63" s="26"/>
      <c r="D63" s="26"/>
      <c r="E63" s="26"/>
      <c r="F63" s="26"/>
      <c r="G63" s="46"/>
      <c r="I63" s="26"/>
      <c r="J63" s="26"/>
      <c r="K63" s="26"/>
      <c r="L63" s="26"/>
      <c r="M63" s="26"/>
      <c r="N63" s="26"/>
      <c r="O63" s="26"/>
    </row>
    <row r="64" spans="1:15" hidden="1" x14ac:dyDescent="0.25">
      <c r="B64" s="47" t="s">
        <v>55</v>
      </c>
      <c r="C64" s="48">
        <f>ROUNDDOWN(+C59+C18+C60+C56-133608619-3750000,0)</f>
        <v>-93358217</v>
      </c>
      <c r="D64" s="48">
        <f t="shared" ref="D64:N64" si="13">ROUNDDOWN(+D59+D18+D60+D56-C59-C60,0)</f>
        <v>0</v>
      </c>
      <c r="E64" s="48">
        <f t="shared" si="13"/>
        <v>0</v>
      </c>
      <c r="F64" s="48">
        <f t="shared" si="13"/>
        <v>0</v>
      </c>
      <c r="G64" s="48">
        <f t="shared" si="13"/>
        <v>0</v>
      </c>
      <c r="H64" s="48">
        <f t="shared" si="13"/>
        <v>0</v>
      </c>
      <c r="I64" s="48">
        <f t="shared" si="13"/>
        <v>0</v>
      </c>
      <c r="J64" s="48">
        <f t="shared" si="13"/>
        <v>0</v>
      </c>
      <c r="K64" s="48">
        <f t="shared" si="13"/>
        <v>0</v>
      </c>
      <c r="L64" s="48">
        <f t="shared" si="13"/>
        <v>0</v>
      </c>
      <c r="M64" s="48">
        <f t="shared" si="13"/>
        <v>0</v>
      </c>
      <c r="N64" s="48">
        <f t="shared" si="13"/>
        <v>0</v>
      </c>
      <c r="O64" s="26"/>
    </row>
    <row r="65" spans="1:15" x14ac:dyDescent="0.25">
      <c r="A65" s="18"/>
      <c r="C65" s="26"/>
      <c r="D65" s="26"/>
      <c r="E65" s="26"/>
      <c r="F65" s="26"/>
      <c r="H65" s="26"/>
      <c r="I65" s="26"/>
      <c r="J65" s="49"/>
      <c r="K65" s="49"/>
      <c r="L65" s="49"/>
      <c r="M65" s="26"/>
      <c r="N65" s="49"/>
      <c r="O65" s="26"/>
    </row>
    <row r="66" spans="1:15" x14ac:dyDescent="0.25">
      <c r="C66" s="14"/>
      <c r="D66" s="26"/>
      <c r="E66" s="26"/>
      <c r="F66" s="26"/>
      <c r="H66" s="26"/>
      <c r="I66" s="26"/>
      <c r="J66" s="26"/>
      <c r="K66" s="26"/>
      <c r="L66" s="26"/>
      <c r="M66" s="26"/>
      <c r="N66" s="6"/>
      <c r="O66" s="26"/>
    </row>
    <row r="67" spans="1:15" x14ac:dyDescent="0.25">
      <c r="C67" s="14"/>
      <c r="D67" s="26"/>
      <c r="E67" s="26"/>
      <c r="F67" s="26"/>
      <c r="H67" s="26"/>
      <c r="I67" s="26"/>
      <c r="J67" s="26"/>
      <c r="K67" s="26"/>
      <c r="L67" s="26"/>
      <c r="M67" s="26"/>
      <c r="N67" s="6"/>
      <c r="O67" s="26"/>
    </row>
    <row r="68" spans="1:15" x14ac:dyDescent="0.25">
      <c r="C68" s="14"/>
      <c r="D68" s="26"/>
      <c r="E68" s="26"/>
      <c r="F68" s="26"/>
      <c r="H68" s="26"/>
      <c r="I68" s="26"/>
      <c r="J68" s="26"/>
      <c r="K68" s="26"/>
      <c r="L68" s="26"/>
      <c r="M68" s="26"/>
      <c r="N68" s="6"/>
      <c r="O68" s="26"/>
    </row>
    <row r="69" spans="1:15" x14ac:dyDescent="0.25">
      <c r="C69" s="14"/>
      <c r="D69" s="26"/>
      <c r="E69" s="26"/>
      <c r="F69" s="26"/>
      <c r="H69" s="26"/>
      <c r="I69" s="26"/>
      <c r="J69" s="26"/>
      <c r="K69" s="26"/>
      <c r="L69" s="26"/>
      <c r="M69" s="26"/>
      <c r="N69" s="6"/>
      <c r="O69" s="26"/>
    </row>
    <row r="70" spans="1:15" x14ac:dyDescent="0.25">
      <c r="C70" s="14"/>
    </row>
    <row r="71" spans="1:15" x14ac:dyDescent="0.25">
      <c r="C71" s="14"/>
    </row>
    <row r="72" spans="1:15" x14ac:dyDescent="0.25">
      <c r="C72" s="14"/>
    </row>
  </sheetData>
  <mergeCells count="3">
    <mergeCell ref="A1:O1"/>
    <mergeCell ref="A2:B2"/>
    <mergeCell ref="A3:B3"/>
  </mergeCells>
  <printOptions gridLinesSet="0"/>
  <pageMargins left="0" right="0" top="0.75" bottom="0.43" header="0" footer="0.17"/>
  <pageSetup paperSize="5" scale="68" fitToWidth="0" fitToHeight="0" orientation="landscape" r:id="rId1"/>
  <headerFooter alignWithMargins="0">
    <oddFooter>&amp;R&amp;"CG Times,Regular"&amp;8&amp;D 
 &amp;F</oddFooter>
  </headerFooter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 10</vt:lpstr>
      <vt:lpstr>'Table 10'!Print_Area</vt:lpstr>
      <vt:lpstr>'Table 10'!Print_Area_MI</vt:lpstr>
      <vt:lpstr>'Table 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10: Literary Fund</dc:title>
  <dc:creator>TRUST ACCOUNTING, OPERATIONS DI</dc:creator>
  <cp:lastModifiedBy>Caldwell, Stephanie (DOE)</cp:lastModifiedBy>
  <cp:lastPrinted>2023-04-25T21:18:39Z</cp:lastPrinted>
  <dcterms:created xsi:type="dcterms:W3CDTF">1997-08-15T18:05:00Z</dcterms:created>
  <dcterms:modified xsi:type="dcterms:W3CDTF">2026-02-02T20:43:32Z</dcterms:modified>
</cp:coreProperties>
</file>